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firstSheet="1" activeTab="1"/>
  </bookViews>
  <sheets>
    <sheet name="RAB" sheetId="1" r:id="rId1"/>
    <sheet name="Bisnis Plan" sheetId="2" r:id="rId2"/>
    <sheet name="detail Bisnis Plan TH 1" sheetId="3" r:id="rId3"/>
    <sheet name="detail Bisnis Plan TH2" sheetId="4" r:id="rId4"/>
    <sheet name="detail Bisnis Plan TH3" sheetId="5" r:id="rId5"/>
  </sheets>
  <definedNames/>
  <calcPr fullCalcOnLoad="1"/>
</workbook>
</file>

<file path=xl/sharedStrings.xml><?xml version="1.0" encoding="utf-8"?>
<sst xmlns="http://schemas.openxmlformats.org/spreadsheetml/2006/main" count="227" uniqueCount="142">
  <si>
    <t>PROGRAM 1</t>
  </si>
  <si>
    <t>Aktivitas 1.1</t>
  </si>
  <si>
    <t>Aktivitas 1.2</t>
  </si>
  <si>
    <t>Aktivitas 1.3</t>
  </si>
  <si>
    <t>Total 1.1</t>
  </si>
  <si>
    <t>Total 1.2</t>
  </si>
  <si>
    <t>Total 1.3</t>
  </si>
  <si>
    <t>TOTAL 1</t>
  </si>
  <si>
    <t>UNS</t>
  </si>
  <si>
    <t>Java Pavillion</t>
  </si>
  <si>
    <t>DIKTI</t>
  </si>
  <si>
    <t>PROGRAM 2</t>
  </si>
  <si>
    <t>Aktivitas 2.1</t>
  </si>
  <si>
    <t>Total 2.1</t>
  </si>
  <si>
    <t>Aktivitas 2.2</t>
  </si>
  <si>
    <t>Total 2.2</t>
  </si>
  <si>
    <t>Total 2.3</t>
  </si>
  <si>
    <t>Aktivitas 2.3</t>
  </si>
  <si>
    <t>TOTAL 2</t>
  </si>
  <si>
    <t>T O T A L</t>
  </si>
  <si>
    <t>Completing Data</t>
  </si>
  <si>
    <t>Desain data Base</t>
  </si>
  <si>
    <t>SOP: Kurikulum</t>
  </si>
  <si>
    <t>Total 1.4</t>
  </si>
  <si>
    <t>Desain Paket</t>
  </si>
  <si>
    <t>Icon Marcella</t>
  </si>
  <si>
    <t>Marketing</t>
  </si>
  <si>
    <t>Virtual Marketing</t>
  </si>
  <si>
    <t>Famtrip</t>
  </si>
  <si>
    <t>Event Promo</t>
  </si>
  <si>
    <t>Set Desa Ecologically Sustainable Tourism</t>
  </si>
  <si>
    <t>Buku Ulasan dan Review produk</t>
  </si>
  <si>
    <t>Paket 1 night in Solo</t>
  </si>
  <si>
    <t>Paket Study in Solo</t>
  </si>
  <si>
    <t>Talkshow &amp; Bisnis Meeting</t>
  </si>
  <si>
    <t>Take Pictures</t>
  </si>
  <si>
    <t>Insert &amp; Manage Content</t>
  </si>
  <si>
    <t>Training dan Inputing Data</t>
  </si>
  <si>
    <t>Penyusunan SOP</t>
  </si>
  <si>
    <t>Penyusunan Silabus dan Kurikulum</t>
  </si>
  <si>
    <t xml:space="preserve">         - Team leader</t>
  </si>
  <si>
    <t xml:space="preserve">         - Analist system</t>
  </si>
  <si>
    <t xml:space="preserve">         - Programmer</t>
  </si>
  <si>
    <t xml:space="preserve">         - Database admin</t>
  </si>
  <si>
    <t>Hardware</t>
  </si>
  <si>
    <t>Aktivitas 1.4</t>
  </si>
  <si>
    <t>Aktivitas 1.5</t>
  </si>
  <si>
    <t>Total 1.5</t>
  </si>
  <si>
    <t>- Lokal airfares (Jakarta - Surakarta)</t>
  </si>
  <si>
    <t>- Lokal acomodation</t>
  </si>
  <si>
    <t>Dokumentasi dan cetak hasil</t>
  </si>
  <si>
    <t>Site visit dari Yayasan Karya Tunas Nusantara</t>
  </si>
  <si>
    <t>- Lokal travel (Surakarta - Karanganyar)</t>
  </si>
  <si>
    <t>- Registration fee, stand, insurance, etc</t>
  </si>
  <si>
    <t>Honor Marcella Zalianty</t>
  </si>
  <si>
    <t>Cetak Buku dan leaflet</t>
  </si>
  <si>
    <t>Communication : BW Internet+telpon</t>
  </si>
  <si>
    <t>Honor Pemetaan, survey dan case study</t>
  </si>
  <si>
    <t>Konsumsi</t>
  </si>
  <si>
    <t>ATK</t>
  </si>
  <si>
    <t>Pengadaan : Video,Camcoder, Camera</t>
  </si>
  <si>
    <t>SISTEM INFORMASI</t>
  </si>
  <si>
    <t>Honor Database Management</t>
  </si>
  <si>
    <t>Maintenance City Break System</t>
  </si>
  <si>
    <t>WWW.DESTINATIONSOLO.COM</t>
  </si>
  <si>
    <t>Pengadaan Server</t>
  </si>
  <si>
    <t>Pengadaan I Phone</t>
  </si>
  <si>
    <t>Honor trainer</t>
  </si>
  <si>
    <t>konsumsi</t>
  </si>
  <si>
    <t>SISTEM PROMOSI</t>
  </si>
  <si>
    <t>- international airfares (Surakarta - Paris)</t>
  </si>
  <si>
    <t>Licence City Break System</t>
  </si>
  <si>
    <t>No</t>
  </si>
  <si>
    <t>Nama Produk</t>
  </si>
  <si>
    <t>Kurikulum Management Destination Base on ICT</t>
  </si>
  <si>
    <t>Market</t>
  </si>
  <si>
    <t>SMK Pariwisata, D3 Perjalanan Wisata, STIEPAR</t>
  </si>
  <si>
    <t>Modus Operasional</t>
  </si>
  <si>
    <t>Destinationsolo.com menyediakan Tenaga pengajar dan Modul Management destination Base on ICT</t>
  </si>
  <si>
    <t>Target</t>
  </si>
  <si>
    <t>Total Tahun 1</t>
  </si>
  <si>
    <t>Total Tahun 2</t>
  </si>
  <si>
    <t>Total Tahun 3</t>
  </si>
  <si>
    <t>Satuan</t>
  </si>
  <si>
    <t>Quantity</t>
  </si>
  <si>
    <t>Jumlah Pemasukan</t>
  </si>
  <si>
    <t>Kegiatan Bisnis</t>
  </si>
  <si>
    <t>bh</t>
  </si>
  <si>
    <t>2 jam/kuliah</t>
  </si>
  <si>
    <t>5 intitusi</t>
  </si>
  <si>
    <t>Unit Revenue</t>
  </si>
  <si>
    <t>hit</t>
  </si>
  <si>
    <t>Management Destination : www.destinationsolo.com</t>
  </si>
  <si>
    <t>orang per th</t>
  </si>
  <si>
    <t>1.Tentor</t>
  </si>
  <si>
    <t>2. Modul</t>
  </si>
  <si>
    <t>3. CD interaktif</t>
  </si>
  <si>
    <t>1. Booking online</t>
  </si>
  <si>
    <t>2. Student asing : Kost, money Changer, Laundry, dll</t>
  </si>
  <si>
    <t>3. Solo 1 night Packet</t>
  </si>
  <si>
    <t>4. Produk agrowisata (EST)</t>
  </si>
  <si>
    <t>transaksi</t>
  </si>
  <si>
    <t>Derivatif produk TIK</t>
  </si>
  <si>
    <t>Stakeholders gratis masuk ke sistem destinationsolo.com namun asesoris seperti : Web, infrastruktur IT dapat membeli</t>
  </si>
  <si>
    <t>1. Web developer</t>
  </si>
  <si>
    <t>2. Bandwidth Internet</t>
  </si>
  <si>
    <t>indeks</t>
  </si>
  <si>
    <t>3. Outsourcing SDM IT</t>
  </si>
  <si>
    <t>orang per bln</t>
  </si>
  <si>
    <t>www.destinationsolo.com</t>
  </si>
  <si>
    <t>Hotel, Rumah Makan, Guest House, Sewa Mobil, Laundry, dll</t>
  </si>
  <si>
    <t>Karyawan perusahaan, turis asing/lokal dan student asing</t>
  </si>
  <si>
    <t>Promosikan web destination dengan SEO Google, alibaba.com dan search engine lain</t>
  </si>
  <si>
    <t>Total 1</t>
  </si>
  <si>
    <t>Total 2</t>
  </si>
  <si>
    <t>Total 3</t>
  </si>
  <si>
    <t>Unit Cost</t>
  </si>
  <si>
    <t>Jumlah Biaya</t>
  </si>
  <si>
    <t>120 hit dan 100 student asing</t>
  </si>
  <si>
    <t>6 web  dan 1 Mbps bandwidth</t>
  </si>
  <si>
    <t>TAHUN I</t>
  </si>
  <si>
    <t>Pembuatan SOP dan kurikulum</t>
  </si>
  <si>
    <t>Recrutment Tentor</t>
  </si>
  <si>
    <t>Operasional Cost</t>
  </si>
  <si>
    <t xml:space="preserve">UNIT COST </t>
  </si>
  <si>
    <t>Investasi tahap 2</t>
  </si>
  <si>
    <t>Investasi tahap 1</t>
  </si>
  <si>
    <t>Investasi tahap 3</t>
  </si>
  <si>
    <t>Booking online</t>
  </si>
  <si>
    <t>Student asing : Kost, money Changer, Laundry, dll</t>
  </si>
  <si>
    <t>Solo 1 night Packet</t>
  </si>
  <si>
    <t>Produk agrowisata (EST)</t>
  </si>
  <si>
    <t>Derivatif Produk IT</t>
  </si>
  <si>
    <t>Web</t>
  </si>
  <si>
    <t>Bandwidth</t>
  </si>
  <si>
    <t>Outsourcing SDM IT</t>
  </si>
  <si>
    <t>Mbps per thn</t>
  </si>
  <si>
    <t>lithat detal</t>
  </si>
  <si>
    <t>Kumulatif</t>
  </si>
  <si>
    <t>TOTAL</t>
  </si>
  <si>
    <t>Detail Bisnis Plan Tahun I</t>
  </si>
  <si>
    <t>BISNIS PLAN TH 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</si>
</sst>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4"/>
      <color indexed="12"/>
      <name val="Arial"/>
      <family val="2"/>
    </font>
    <font>
      <b/>
      <sz val="14"/>
      <name val="Arial"/>
      <family val="2"/>
    </font>
    <font>
      <b/>
      <sz val="8"/>
      <name val="Arial"/>
      <family val="0"/>
    </font>
    <font>
      <b/>
      <sz val="12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22" borderId="10" xfId="0" applyFill="1" applyBorder="1" applyAlignment="1">
      <alignment/>
    </xf>
    <xf numFmtId="3" fontId="0" fillId="22" borderId="10" xfId="0" applyNumberFormat="1" applyFill="1" applyBorder="1" applyAlignment="1">
      <alignment/>
    </xf>
    <xf numFmtId="0" fontId="0" fillId="20" borderId="10" xfId="0" applyFill="1" applyBorder="1" applyAlignment="1">
      <alignment/>
    </xf>
    <xf numFmtId="3" fontId="0" fillId="20" borderId="10" xfId="0" applyNumberFormat="1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0" fillId="0" borderId="10" xfId="0" applyFont="1" applyBorder="1" applyAlignment="1">
      <alignment/>
    </xf>
    <xf numFmtId="3" fontId="0" fillId="0" borderId="10" xfId="42" applyNumberFormat="1" applyFont="1" applyBorder="1" applyAlignment="1">
      <alignment/>
    </xf>
    <xf numFmtId="0" fontId="1" fillId="20" borderId="10" xfId="0" applyFont="1" applyFill="1" applyBorder="1" applyAlignment="1">
      <alignment/>
    </xf>
    <xf numFmtId="3" fontId="1" fillId="20" borderId="10" xfId="0" applyNumberFormat="1" applyFont="1" applyFill="1" applyBorder="1" applyAlignment="1">
      <alignment/>
    </xf>
    <xf numFmtId="41" fontId="0" fillId="19" borderId="10" xfId="0" applyNumberFormat="1" applyFont="1" applyFill="1" applyBorder="1" applyAlignment="1">
      <alignment/>
    </xf>
    <xf numFmtId="3" fontId="0" fillId="19" borderId="10" xfId="0" applyNumberFormat="1" applyFill="1" applyBorder="1" applyAlignment="1">
      <alignment/>
    </xf>
    <xf numFmtId="0" fontId="0" fillId="19" borderId="10" xfId="0" applyFill="1" applyBorder="1" applyAlignment="1">
      <alignment/>
    </xf>
    <xf numFmtId="49" fontId="0" fillId="19" borderId="10" xfId="0" applyNumberFormat="1" applyFont="1" applyFill="1" applyBorder="1" applyAlignment="1">
      <alignment/>
    </xf>
    <xf numFmtId="0" fontId="0" fillId="14" borderId="0" xfId="0" applyFill="1" applyAlignment="1">
      <alignment/>
    </xf>
    <xf numFmtId="0" fontId="0" fillId="14" borderId="10" xfId="0" applyFill="1" applyBorder="1" applyAlignment="1">
      <alignment/>
    </xf>
    <xf numFmtId="3" fontId="0" fillId="14" borderId="10" xfId="0" applyNumberFormat="1" applyFill="1" applyBorder="1" applyAlignment="1">
      <alignment/>
    </xf>
    <xf numFmtId="49" fontId="0" fillId="14" borderId="10" xfId="0" applyNumberFormat="1" applyFont="1" applyFill="1" applyBorder="1" applyAlignment="1">
      <alignment/>
    </xf>
    <xf numFmtId="49" fontId="0" fillId="10" borderId="10" xfId="0" applyNumberFormat="1" applyFont="1" applyFill="1" applyBorder="1" applyAlignment="1">
      <alignment/>
    </xf>
    <xf numFmtId="0" fontId="0" fillId="10" borderId="10" xfId="0" applyFill="1" applyBorder="1" applyAlignment="1">
      <alignment/>
    </xf>
    <xf numFmtId="3" fontId="0" fillId="10" borderId="10" xfId="0" applyNumberFormat="1" applyFill="1" applyBorder="1" applyAlignment="1">
      <alignment/>
    </xf>
    <xf numFmtId="3" fontId="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Fill="1" applyBorder="1" applyAlignment="1">
      <alignment/>
    </xf>
    <xf numFmtId="3" fontId="1" fillId="0" borderId="0" xfId="0" applyNumberFormat="1" applyFont="1" applyAlignment="1">
      <alignment/>
    </xf>
    <xf numFmtId="0" fontId="24" fillId="0" borderId="0" xfId="53" applyFont="1" applyAlignment="1">
      <alignment/>
    </xf>
    <xf numFmtId="0" fontId="2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6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49" fontId="0" fillId="14" borderId="11" xfId="0" applyNumberFormat="1" applyFont="1" applyFill="1" applyBorder="1" applyAlignment="1">
      <alignment/>
    </xf>
    <xf numFmtId="0" fontId="0" fillId="14" borderId="12" xfId="0" applyFill="1" applyBorder="1" applyAlignment="1">
      <alignment/>
    </xf>
    <xf numFmtId="49" fontId="0" fillId="19" borderId="11" xfId="0" applyNumberFormat="1" applyFont="1" applyFill="1" applyBorder="1" applyAlignment="1">
      <alignment/>
    </xf>
    <xf numFmtId="0" fontId="0" fillId="19" borderId="12" xfId="0" applyFill="1" applyBorder="1" applyAlignment="1">
      <alignment/>
    </xf>
    <xf numFmtId="0" fontId="0" fillId="14" borderId="11" xfId="0" applyFill="1" applyBorder="1" applyAlignment="1">
      <alignment/>
    </xf>
    <xf numFmtId="0" fontId="0" fillId="19" borderId="11" xfId="0" applyFont="1" applyFill="1" applyBorder="1" applyAlignment="1">
      <alignment/>
    </xf>
    <xf numFmtId="0" fontId="0" fillId="19" borderId="12" xfId="0" applyFont="1" applyFill="1" applyBorder="1" applyAlignment="1">
      <alignment/>
    </xf>
    <xf numFmtId="0" fontId="0" fillId="14" borderId="11" xfId="0" applyFont="1" applyFill="1" applyBorder="1" applyAlignment="1">
      <alignment/>
    </xf>
    <xf numFmtId="0" fontId="0" fillId="14" borderId="12" xfId="0" applyFont="1" applyFill="1" applyBorder="1" applyAlignment="1">
      <alignment/>
    </xf>
    <xf numFmtId="0" fontId="0" fillId="19" borderId="11" xfId="0" applyFill="1" applyBorder="1" applyAlignment="1">
      <alignment/>
    </xf>
    <xf numFmtId="3" fontId="0" fillId="14" borderId="10" xfId="0" applyNumberFormat="1" applyFill="1" applyBorder="1" applyAlignment="1">
      <alignment/>
    </xf>
    <xf numFmtId="0" fontId="4" fillId="0" borderId="10" xfId="53" applyFont="1" applyBorder="1" applyAlignment="1" applyProtection="1">
      <alignment vertical="center"/>
      <protection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0" borderId="10" xfId="0" applyBorder="1" applyAlignment="1">
      <alignment vertical="center"/>
    </xf>
    <xf numFmtId="0" fontId="0" fillId="14" borderId="10" xfId="0" applyFill="1" applyBorder="1" applyAlignment="1">
      <alignment/>
    </xf>
    <xf numFmtId="49" fontId="0" fillId="19" borderId="10" xfId="0" applyNumberFormat="1" applyFont="1" applyFill="1" applyBorder="1" applyAlignment="1">
      <alignment/>
    </xf>
    <xf numFmtId="0" fontId="0" fillId="19" borderId="10" xfId="0" applyFill="1" applyBorder="1" applyAlignment="1">
      <alignment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6" fillId="0" borderId="0" xfId="0" applyFont="1" applyAlignment="1">
      <alignment/>
    </xf>
    <xf numFmtId="0" fontId="26" fillId="0" borderId="10" xfId="0" applyFont="1" applyBorder="1" applyAlignment="1">
      <alignment/>
    </xf>
    <xf numFmtId="0" fontId="26" fillId="20" borderId="10" xfId="0" applyFont="1" applyFill="1" applyBorder="1" applyAlignment="1">
      <alignment horizontal="center"/>
    </xf>
    <xf numFmtId="0" fontId="26" fillId="20" borderId="10" xfId="0" applyFont="1" applyFill="1" applyBorder="1" applyAlignment="1">
      <alignment horizontal="center" wrapText="1"/>
    </xf>
    <xf numFmtId="0" fontId="2" fillId="20" borderId="10" xfId="0" applyFont="1" applyFill="1" applyBorder="1" applyAlignment="1">
      <alignment horizontal="center" wrapText="1"/>
    </xf>
    <xf numFmtId="0" fontId="26" fillId="20" borderId="13" xfId="0" applyFont="1" applyFill="1" applyBorder="1" applyAlignment="1">
      <alignment horizontal="center" wrapText="1"/>
    </xf>
    <xf numFmtId="0" fontId="26" fillId="20" borderId="15" xfId="0" applyFont="1" applyFill="1" applyBorder="1" applyAlignment="1">
      <alignment horizontal="center" wrapText="1"/>
    </xf>
    <xf numFmtId="3" fontId="2" fillId="0" borderId="13" xfId="0" applyNumberFormat="1" applyFont="1" applyBorder="1" applyAlignment="1">
      <alignment/>
    </xf>
    <xf numFmtId="0" fontId="0" fillId="0" borderId="15" xfId="0" applyBorder="1" applyAlignment="1">
      <alignment horizontal="center" wrapText="1"/>
    </xf>
    <xf numFmtId="3" fontId="26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0" fillId="25" borderId="10" xfId="0" applyFill="1" applyBorder="1" applyAlignment="1">
      <alignment wrapText="1"/>
    </xf>
    <xf numFmtId="0" fontId="0" fillId="25" borderId="1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10" borderId="10" xfId="0" applyFont="1" applyFill="1" applyBorder="1" applyAlignment="1">
      <alignment/>
    </xf>
    <xf numFmtId="0" fontId="2" fillId="10" borderId="10" xfId="0" applyFont="1" applyFill="1" applyBorder="1" applyAlignment="1">
      <alignment wrapText="1"/>
    </xf>
    <xf numFmtId="0" fontId="1" fillId="0" borderId="10" xfId="53" applyFont="1" applyBorder="1" applyAlignment="1">
      <alignment wrapText="1"/>
    </xf>
    <xf numFmtId="0" fontId="0" fillId="20" borderId="0" xfId="0" applyFill="1" applyAlignment="1">
      <alignment/>
    </xf>
    <xf numFmtId="3" fontId="0" fillId="2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BISNIS PLAN TH 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'detail Bisnis Plan TH 1'!$C$32:$N$32</c:f>
              <c:numCache/>
            </c:numRef>
          </c:val>
          <c:smooth val="0"/>
        </c:ser>
        <c:marker val="1"/>
        <c:axId val="54416468"/>
        <c:axId val="19986165"/>
      </c:lineChart>
      <c:catAx>
        <c:axId val="54416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Bulan Ke-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986165"/>
        <c:crosses val="autoZero"/>
        <c:auto val="1"/>
        <c:lblOffset val="100"/>
        <c:noMultiLvlLbl val="0"/>
      </c:catAx>
      <c:valAx>
        <c:axId val="19986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Kumulatif Laba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4164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BISNIS PLAN TH 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'detail Bisnis Plan TH2'!$C$32:$N$32</c:f>
              <c:numCache/>
            </c:numRef>
          </c:val>
          <c:smooth val="0"/>
        </c:ser>
        <c:marker val="1"/>
        <c:axId val="45657758"/>
        <c:axId val="8266639"/>
      </c:lineChart>
      <c:catAx>
        <c:axId val="45657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Bulan Ke-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266639"/>
        <c:crosses val="autoZero"/>
        <c:auto val="1"/>
        <c:lblOffset val="100"/>
        <c:noMultiLvlLbl val="0"/>
      </c:catAx>
      <c:valAx>
        <c:axId val="8266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Kumulatif Laba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6577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BISNIS PLAN TH 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'detail Bisnis Plan TH3'!$C$32:$N$32</c:f>
              <c:numCache/>
            </c:numRef>
          </c:val>
          <c:smooth val="0"/>
        </c:ser>
        <c:marker val="1"/>
        <c:axId val="7290888"/>
        <c:axId val="65617993"/>
      </c:lineChart>
      <c:catAx>
        <c:axId val="7290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Bulan Ke-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617993"/>
        <c:crosses val="autoZero"/>
        <c:auto val="1"/>
        <c:lblOffset val="100"/>
        <c:noMultiLvlLbl val="0"/>
      </c:catAx>
      <c:valAx>
        <c:axId val="65617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Kumulatif Laba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2908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1476375</xdr:colOff>
      <xdr:row>33</xdr:row>
      <xdr:rowOff>28575</xdr:rowOff>
    </xdr:from>
    <xdr:to>
      <xdr:col>6</xdr:col>
      <xdr:colOff>361950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1476375" y="6410325"/>
        <a:ext cx="4667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1476375</xdr:colOff>
      <xdr:row>33</xdr:row>
      <xdr:rowOff>28575</xdr:rowOff>
    </xdr:from>
    <xdr:to>
      <xdr:col>6</xdr:col>
      <xdr:colOff>361950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1476375" y="6410325"/>
        <a:ext cx="4667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1476375</xdr:colOff>
      <xdr:row>33</xdr:row>
      <xdr:rowOff>28575</xdr:rowOff>
    </xdr:from>
    <xdr:to>
      <xdr:col>6</xdr:col>
      <xdr:colOff>361950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1476375" y="6410325"/>
        <a:ext cx="4667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stinationsolo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estinationsolo.com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destinationsolo.com/" TargetMode="External" /><Relationship Id="rId2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destinationsolo.com/" TargetMode="External" /><Relationship Id="rId2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destinationsolo.com/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9"/>
  <sheetViews>
    <sheetView zoomScalePageLayoutView="0" workbookViewId="0" topLeftCell="D1">
      <pane ySplit="3" topLeftCell="BM37" activePane="bottomLeft" state="frozen"/>
      <selection pane="topLeft" activeCell="B26" sqref="B26"/>
      <selection pane="bottomLeft" activeCell="B26" sqref="B26"/>
    </sheetView>
  </sheetViews>
  <sheetFormatPr defaultColWidth="9.140625" defaultRowHeight="12.75"/>
  <cols>
    <col min="1" max="1" width="12.57421875" style="0" customWidth="1"/>
    <col min="2" max="2" width="12.00390625" style="0" customWidth="1"/>
    <col min="3" max="3" width="24.28125" style="0" customWidth="1"/>
    <col min="4" max="4" width="12.8515625" style="0" customWidth="1"/>
    <col min="5" max="5" width="14.140625" style="0" customWidth="1"/>
    <col min="6" max="6" width="11.140625" style="0" bestFit="1" customWidth="1"/>
    <col min="7" max="8" width="10.140625" style="0" bestFit="1" customWidth="1"/>
    <col min="9" max="9" width="11.57421875" style="0" customWidth="1"/>
    <col min="10" max="10" width="11.7109375" style="0" customWidth="1"/>
    <col min="11" max="11" width="11.00390625" style="0" customWidth="1"/>
    <col min="12" max="14" width="11.140625" style="0" bestFit="1" customWidth="1"/>
    <col min="15" max="15" width="13.57421875" style="0" customWidth="1"/>
    <col min="16" max="17" width="11.140625" style="0" bestFit="1" customWidth="1"/>
  </cols>
  <sheetData>
    <row r="2" spans="1:14" ht="12.75">
      <c r="A2" s="60" t="s">
        <v>64</v>
      </c>
      <c r="B2" s="61"/>
      <c r="C2" s="61"/>
      <c r="D2" s="61"/>
      <c r="E2" s="62"/>
      <c r="F2" s="44" t="s">
        <v>8</v>
      </c>
      <c r="G2" s="45"/>
      <c r="H2" s="45"/>
      <c r="I2" s="44" t="s">
        <v>9</v>
      </c>
      <c r="J2" s="45"/>
      <c r="K2" s="45"/>
      <c r="L2" s="44" t="s">
        <v>10</v>
      </c>
      <c r="M2" s="45"/>
      <c r="N2" s="45"/>
    </row>
    <row r="3" spans="1:14" ht="12.75">
      <c r="A3" s="61"/>
      <c r="B3" s="61"/>
      <c r="C3" s="61"/>
      <c r="D3" s="61"/>
      <c r="E3" s="62"/>
      <c r="F3" s="10">
        <v>1</v>
      </c>
      <c r="G3" s="10">
        <v>2</v>
      </c>
      <c r="H3" s="10">
        <v>3</v>
      </c>
      <c r="I3" s="10">
        <v>1</v>
      </c>
      <c r="J3" s="10">
        <v>2</v>
      </c>
      <c r="K3" s="10">
        <v>3</v>
      </c>
      <c r="L3" s="10">
        <v>1</v>
      </c>
      <c r="M3" s="10">
        <v>2</v>
      </c>
      <c r="N3" s="10">
        <v>3</v>
      </c>
    </row>
    <row r="4" spans="1:14" ht="12.75">
      <c r="A4" s="61" t="s">
        <v>0</v>
      </c>
      <c r="B4" s="2" t="s">
        <v>61</v>
      </c>
      <c r="C4" s="5"/>
      <c r="D4" s="5"/>
      <c r="E4" s="5"/>
      <c r="F4" s="11"/>
      <c r="G4" s="11"/>
      <c r="H4" s="11"/>
      <c r="I4" s="11"/>
      <c r="J4" s="11"/>
      <c r="K4" s="11"/>
      <c r="L4" s="11"/>
      <c r="M4" s="11"/>
      <c r="N4" s="11"/>
    </row>
    <row r="5" spans="1:14" ht="12.75">
      <c r="A5" s="65"/>
      <c r="B5" s="2" t="s">
        <v>1</v>
      </c>
      <c r="C5" s="5" t="s">
        <v>20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7" ht="12.75">
      <c r="A6" s="65"/>
      <c r="B6" s="58" t="s">
        <v>57</v>
      </c>
      <c r="C6" s="52"/>
      <c r="D6" s="4">
        <v>93000000</v>
      </c>
      <c r="E6" s="12">
        <f>SUM(F6:N6)</f>
        <v>93000000</v>
      </c>
      <c r="F6" s="4"/>
      <c r="G6" s="9">
        <v>2310000</v>
      </c>
      <c r="H6" s="4">
        <v>5000000</v>
      </c>
      <c r="I6" s="4">
        <f>5000000-2310000+10000000-1000000</f>
        <v>11690000</v>
      </c>
      <c r="J6" s="12"/>
      <c r="K6" s="4"/>
      <c r="L6" s="4">
        <v>34000000</v>
      </c>
      <c r="M6" s="4">
        <v>40000000</v>
      </c>
      <c r="N6" s="4"/>
      <c r="O6" s="1">
        <f>SUM(F6:N6)</f>
        <v>93000000</v>
      </c>
      <c r="P6" s="1">
        <f>E6</f>
        <v>93000000</v>
      </c>
      <c r="Q6" s="1">
        <f>D6</f>
        <v>93000000</v>
      </c>
    </row>
    <row r="7" spans="1:17" ht="12.75">
      <c r="A7" s="65"/>
      <c r="B7" s="66" t="s">
        <v>58</v>
      </c>
      <c r="C7" s="66"/>
      <c r="D7" s="4">
        <v>7000000</v>
      </c>
      <c r="E7" s="12">
        <f>SUM(F7:N7)</f>
        <v>7000000</v>
      </c>
      <c r="F7" s="4"/>
      <c r="G7" s="4"/>
      <c r="H7" s="4"/>
      <c r="I7" s="4"/>
      <c r="J7" s="4"/>
      <c r="K7" s="4"/>
      <c r="L7" s="4">
        <v>7000000</v>
      </c>
      <c r="M7" s="4"/>
      <c r="N7" s="4"/>
      <c r="O7" s="1">
        <f aca="true" t="shared" si="0" ref="O7:O35">SUM(F7:N7)</f>
        <v>7000000</v>
      </c>
      <c r="P7" s="1">
        <f aca="true" t="shared" si="1" ref="P7:P33">E7</f>
        <v>7000000</v>
      </c>
      <c r="Q7" s="1">
        <f aca="true" t="shared" si="2" ref="Q7:Q33">D7</f>
        <v>7000000</v>
      </c>
    </row>
    <row r="8" spans="1:17" ht="12.75">
      <c r="A8" s="65"/>
      <c r="B8" s="66" t="s">
        <v>59</v>
      </c>
      <c r="C8" s="66"/>
      <c r="D8" s="4">
        <v>1000000</v>
      </c>
      <c r="E8" s="12">
        <f>SUM(F8:N8)</f>
        <v>1000000</v>
      </c>
      <c r="F8" s="4"/>
      <c r="G8" s="4"/>
      <c r="H8" s="4"/>
      <c r="I8" s="4"/>
      <c r="J8" s="4"/>
      <c r="K8" s="4"/>
      <c r="L8" s="4">
        <v>1000000</v>
      </c>
      <c r="M8" s="4"/>
      <c r="N8" s="4"/>
      <c r="O8" s="1">
        <f t="shared" si="0"/>
        <v>1000000</v>
      </c>
      <c r="P8" s="1">
        <f t="shared" si="1"/>
        <v>1000000</v>
      </c>
      <c r="Q8" s="1">
        <f t="shared" si="2"/>
        <v>1000000</v>
      </c>
    </row>
    <row r="9" spans="1:17" ht="12.75">
      <c r="A9" s="65"/>
      <c r="B9" s="63" t="s">
        <v>60</v>
      </c>
      <c r="C9" s="64"/>
      <c r="D9" s="4">
        <v>25000000</v>
      </c>
      <c r="E9" s="12">
        <f>SUM(F9:N9)</f>
        <v>25000000</v>
      </c>
      <c r="G9" s="4"/>
      <c r="H9" s="4"/>
      <c r="I9" s="4">
        <v>5000000</v>
      </c>
      <c r="J9" s="4">
        <v>10000000</v>
      </c>
      <c r="K9" s="4"/>
      <c r="L9" s="4"/>
      <c r="M9" s="4">
        <v>10000000</v>
      </c>
      <c r="N9" s="4"/>
      <c r="O9" s="1">
        <f t="shared" si="0"/>
        <v>25000000</v>
      </c>
      <c r="P9" s="1">
        <f t="shared" si="1"/>
        <v>25000000</v>
      </c>
      <c r="Q9" s="1">
        <f t="shared" si="2"/>
        <v>25000000</v>
      </c>
    </row>
    <row r="10" spans="1:17" ht="12.75">
      <c r="A10" s="65"/>
      <c r="B10" s="6" t="s">
        <v>4</v>
      </c>
      <c r="C10" s="7"/>
      <c r="D10" s="7">
        <f>SUM(D6:D9)</f>
        <v>126000000</v>
      </c>
      <c r="E10" s="7">
        <f>SUM(F10:N10)</f>
        <v>126000000</v>
      </c>
      <c r="F10" s="7">
        <f>SUM(F6:F9)</f>
        <v>0</v>
      </c>
      <c r="G10" s="7">
        <f>SUM(G6:G9)</f>
        <v>2310000</v>
      </c>
      <c r="H10" s="7">
        <f>SUM(H6:H9)</f>
        <v>5000000</v>
      </c>
      <c r="I10" s="7">
        <f>SUM(I6:I9)</f>
        <v>16690000</v>
      </c>
      <c r="J10" s="7">
        <f>SUM(J6:J9)</f>
        <v>10000000</v>
      </c>
      <c r="K10" s="7"/>
      <c r="L10" s="7">
        <f>SUM(L5:L9)</f>
        <v>42000000</v>
      </c>
      <c r="M10" s="7">
        <f>SUM(M5:M9)</f>
        <v>50000000</v>
      </c>
      <c r="N10" s="7"/>
      <c r="O10" s="1"/>
      <c r="P10" s="1"/>
      <c r="Q10" s="1"/>
    </row>
    <row r="11" spans="1:17" ht="12.75">
      <c r="A11" s="65"/>
      <c r="B11" s="2" t="s">
        <v>2</v>
      </c>
      <c r="C11" s="4" t="s">
        <v>21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">
        <f t="shared" si="0"/>
        <v>0</v>
      </c>
      <c r="P11" s="1">
        <f t="shared" si="1"/>
        <v>0</v>
      </c>
      <c r="Q11" s="1">
        <f t="shared" si="2"/>
        <v>0</v>
      </c>
    </row>
    <row r="12" spans="1:17" ht="12.75">
      <c r="A12" s="65"/>
      <c r="B12" s="17" t="s">
        <v>62</v>
      </c>
      <c r="C12" s="1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1">
        <f t="shared" si="0"/>
        <v>0</v>
      </c>
      <c r="P12" s="1">
        <f t="shared" si="1"/>
        <v>0</v>
      </c>
      <c r="Q12" s="1">
        <f t="shared" si="2"/>
        <v>0</v>
      </c>
    </row>
    <row r="13" spans="1:17" ht="12.75">
      <c r="A13" s="65"/>
      <c r="B13" s="67" t="s">
        <v>40</v>
      </c>
      <c r="C13" s="68"/>
      <c r="D13" s="3">
        <v>12500000</v>
      </c>
      <c r="E13" s="12">
        <f aca="true" t="shared" si="3" ref="E13:E20">SUM(F13:N13)</f>
        <v>12500000</v>
      </c>
      <c r="F13" s="4">
        <v>2500000</v>
      </c>
      <c r="G13" s="4"/>
      <c r="H13" s="4"/>
      <c r="I13" s="4"/>
      <c r="J13" s="4"/>
      <c r="K13" s="4"/>
      <c r="L13" s="4">
        <v>10000000</v>
      </c>
      <c r="M13" s="4"/>
      <c r="N13" s="4"/>
      <c r="O13" s="1">
        <f t="shared" si="0"/>
        <v>12500000</v>
      </c>
      <c r="P13" s="1">
        <f t="shared" si="1"/>
        <v>12500000</v>
      </c>
      <c r="Q13" s="1">
        <f t="shared" si="2"/>
        <v>12500000</v>
      </c>
    </row>
    <row r="14" spans="1:17" ht="12.75">
      <c r="A14" s="65"/>
      <c r="B14" s="67" t="s">
        <v>41</v>
      </c>
      <c r="C14" s="68"/>
      <c r="D14" s="3">
        <v>15000000</v>
      </c>
      <c r="E14" s="12">
        <f t="shared" si="3"/>
        <v>15000000</v>
      </c>
      <c r="F14" s="4">
        <v>5000000</v>
      </c>
      <c r="G14" s="4"/>
      <c r="H14" s="4"/>
      <c r="I14" s="4"/>
      <c r="J14" s="4"/>
      <c r="K14" s="4"/>
      <c r="L14" s="4">
        <v>10000000</v>
      </c>
      <c r="M14" s="4"/>
      <c r="N14" s="4"/>
      <c r="O14" s="1">
        <f t="shared" si="0"/>
        <v>15000000</v>
      </c>
      <c r="P14" s="1">
        <f t="shared" si="1"/>
        <v>15000000</v>
      </c>
      <c r="Q14" s="1">
        <f t="shared" si="2"/>
        <v>15000000</v>
      </c>
    </row>
    <row r="15" spans="1:17" ht="12.75">
      <c r="A15" s="65"/>
      <c r="B15" s="67" t="s">
        <v>42</v>
      </c>
      <c r="C15" s="68"/>
      <c r="D15" s="3">
        <f>11000000</f>
        <v>11000000</v>
      </c>
      <c r="E15" s="12">
        <f t="shared" si="3"/>
        <v>11000000</v>
      </c>
      <c r="F15" s="4">
        <v>1000000</v>
      </c>
      <c r="G15" s="4"/>
      <c r="H15" s="4"/>
      <c r="I15" s="4"/>
      <c r="J15" s="4"/>
      <c r="K15" s="4"/>
      <c r="L15" s="4">
        <v>10000000</v>
      </c>
      <c r="M15" s="4"/>
      <c r="N15" s="4"/>
      <c r="O15" s="1">
        <f t="shared" si="0"/>
        <v>11000000</v>
      </c>
      <c r="P15" s="1">
        <f t="shared" si="1"/>
        <v>11000000</v>
      </c>
      <c r="Q15" s="1">
        <f t="shared" si="2"/>
        <v>11000000</v>
      </c>
    </row>
    <row r="16" spans="1:17" ht="12.75">
      <c r="A16" s="65"/>
      <c r="B16" s="67" t="s">
        <v>43</v>
      </c>
      <c r="C16" s="68"/>
      <c r="D16" s="3">
        <v>8935000</v>
      </c>
      <c r="E16" s="12">
        <f t="shared" si="3"/>
        <v>8935000</v>
      </c>
      <c r="F16" s="4"/>
      <c r="G16" s="4"/>
      <c r="H16" s="4"/>
      <c r="I16" s="9"/>
      <c r="J16" s="4"/>
      <c r="K16" s="4"/>
      <c r="L16" s="4">
        <v>8935000</v>
      </c>
      <c r="M16" s="4"/>
      <c r="N16" s="4"/>
      <c r="O16" s="1">
        <f t="shared" si="0"/>
        <v>8935000</v>
      </c>
      <c r="P16" s="1">
        <f t="shared" si="1"/>
        <v>8935000</v>
      </c>
      <c r="Q16" s="1">
        <f t="shared" si="2"/>
        <v>8935000</v>
      </c>
    </row>
    <row r="17" spans="1:17" ht="12.75">
      <c r="A17" s="65"/>
      <c r="B17" s="67" t="s">
        <v>71</v>
      </c>
      <c r="C17" s="68"/>
      <c r="D17" s="3">
        <f>104000000</f>
        <v>104000000</v>
      </c>
      <c r="E17" s="12">
        <f t="shared" si="3"/>
        <v>104000000</v>
      </c>
      <c r="F17" s="4"/>
      <c r="G17" s="4"/>
      <c r="H17" s="4"/>
      <c r="I17" s="9">
        <f>31875000-5000000+4000000</f>
        <v>30875000</v>
      </c>
      <c r="J17" s="4">
        <f>34375000</f>
        <v>34375000</v>
      </c>
      <c r="K17" s="4"/>
      <c r="L17" s="4"/>
      <c r="M17" s="4"/>
      <c r="N17" s="4">
        <f>38750000</f>
        <v>38750000</v>
      </c>
      <c r="O17" s="1">
        <f t="shared" si="0"/>
        <v>104000000</v>
      </c>
      <c r="P17" s="1">
        <f t="shared" si="1"/>
        <v>104000000</v>
      </c>
      <c r="Q17" s="1">
        <f t="shared" si="2"/>
        <v>104000000</v>
      </c>
    </row>
    <row r="18" spans="1:17" ht="12.75">
      <c r="A18" s="65"/>
      <c r="B18" s="51" t="s">
        <v>63</v>
      </c>
      <c r="C18" s="52"/>
      <c r="D18" s="3">
        <f>52250000</f>
        <v>52250000</v>
      </c>
      <c r="E18" s="12">
        <f t="shared" si="3"/>
        <v>52250000</v>
      </c>
      <c r="F18" s="4">
        <v>4000000</v>
      </c>
      <c r="G18" s="4">
        <v>3625000</v>
      </c>
      <c r="H18" s="4"/>
      <c r="I18" s="4"/>
      <c r="J18" s="4">
        <v>3750000</v>
      </c>
      <c r="K18" s="4">
        <v>625000</v>
      </c>
      <c r="L18" s="4">
        <v>4000000</v>
      </c>
      <c r="M18" s="4"/>
      <c r="N18" s="4">
        <v>36250000</v>
      </c>
      <c r="O18" s="1">
        <f t="shared" si="0"/>
        <v>52250000</v>
      </c>
      <c r="P18" s="1">
        <f t="shared" si="1"/>
        <v>52250000</v>
      </c>
      <c r="Q18" s="1">
        <f t="shared" si="2"/>
        <v>52250000</v>
      </c>
    </row>
    <row r="19" spans="1:17" ht="12.75">
      <c r="A19" s="65"/>
      <c r="B19" s="49" t="s">
        <v>58</v>
      </c>
      <c r="C19" s="50"/>
      <c r="D19" s="3">
        <v>7000000</v>
      </c>
      <c r="E19" s="12">
        <f t="shared" si="3"/>
        <v>7000000</v>
      </c>
      <c r="F19" s="4"/>
      <c r="G19" s="4"/>
      <c r="H19" s="4"/>
      <c r="I19" s="4"/>
      <c r="J19" s="4"/>
      <c r="K19" s="4"/>
      <c r="L19" s="4">
        <v>7000000</v>
      </c>
      <c r="M19" s="4"/>
      <c r="N19" s="4"/>
      <c r="O19" s="1">
        <f t="shared" si="0"/>
        <v>7000000</v>
      </c>
      <c r="P19" s="1">
        <f t="shared" si="1"/>
        <v>7000000</v>
      </c>
      <c r="Q19" s="1">
        <f t="shared" si="2"/>
        <v>7000000</v>
      </c>
    </row>
    <row r="20" spans="1:17" ht="12.75">
      <c r="A20" s="65"/>
      <c r="B20" s="59" t="s">
        <v>59</v>
      </c>
      <c r="C20" s="59"/>
      <c r="D20" s="4">
        <v>1000000</v>
      </c>
      <c r="E20" s="12">
        <f t="shared" si="3"/>
        <v>1000000</v>
      </c>
      <c r="F20" s="4"/>
      <c r="G20" s="4"/>
      <c r="H20" s="4"/>
      <c r="I20" s="4"/>
      <c r="J20" s="4"/>
      <c r="K20" s="4"/>
      <c r="L20" s="4">
        <v>1000000</v>
      </c>
      <c r="M20" s="4"/>
      <c r="N20" s="4"/>
      <c r="O20" s="1">
        <f t="shared" si="0"/>
        <v>1000000</v>
      </c>
      <c r="P20" s="1">
        <f t="shared" si="1"/>
        <v>1000000</v>
      </c>
      <c r="Q20" s="1">
        <f t="shared" si="2"/>
        <v>1000000</v>
      </c>
    </row>
    <row r="21" spans="1:17" ht="12.75">
      <c r="A21" s="65"/>
      <c r="B21" s="6" t="s">
        <v>5</v>
      </c>
      <c r="C21" s="7"/>
      <c r="D21" s="7">
        <f>SUM(D13:D20)</f>
        <v>211685000</v>
      </c>
      <c r="E21" s="7">
        <f>SUM(F21:N21)</f>
        <v>211685000</v>
      </c>
      <c r="F21" s="7">
        <f>SUM(F13:F20)</f>
        <v>12500000</v>
      </c>
      <c r="G21" s="7">
        <f aca="true" t="shared" si="4" ref="G21:N21">SUM(G13:G20)</f>
        <v>3625000</v>
      </c>
      <c r="H21" s="7">
        <f t="shared" si="4"/>
        <v>0</v>
      </c>
      <c r="I21" s="7">
        <f t="shared" si="4"/>
        <v>30875000</v>
      </c>
      <c r="J21" s="7">
        <f t="shared" si="4"/>
        <v>38125000</v>
      </c>
      <c r="K21" s="7">
        <f t="shared" si="4"/>
        <v>625000</v>
      </c>
      <c r="L21" s="7">
        <f t="shared" si="4"/>
        <v>50935000</v>
      </c>
      <c r="M21" s="7">
        <f t="shared" si="4"/>
        <v>0</v>
      </c>
      <c r="N21" s="7">
        <f t="shared" si="4"/>
        <v>75000000</v>
      </c>
      <c r="O21" s="1"/>
      <c r="P21" s="1"/>
      <c r="Q21" s="1"/>
    </row>
    <row r="22" spans="1:17" ht="12.75">
      <c r="A22" s="65"/>
      <c r="B22" s="2" t="s">
        <v>3</v>
      </c>
      <c r="C22" s="4" t="s">
        <v>22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1">
        <f t="shared" si="0"/>
        <v>0</v>
      </c>
      <c r="P22" s="1">
        <f t="shared" si="1"/>
        <v>0</v>
      </c>
      <c r="Q22" s="1">
        <f t="shared" si="2"/>
        <v>0</v>
      </c>
    </row>
    <row r="23" spans="1:17" ht="12.75">
      <c r="A23" s="65"/>
      <c r="B23" s="19" t="s">
        <v>38</v>
      </c>
      <c r="C23" s="18"/>
      <c r="D23" s="4">
        <f>4*250000</f>
        <v>1000000</v>
      </c>
      <c r="E23" s="12">
        <f>SUM(F23:N23)</f>
        <v>1000000</v>
      </c>
      <c r="F23" s="4">
        <v>1000000</v>
      </c>
      <c r="G23" s="4"/>
      <c r="H23" s="4"/>
      <c r="I23" s="4"/>
      <c r="J23" s="4"/>
      <c r="K23" s="4"/>
      <c r="L23" s="4"/>
      <c r="M23" s="4"/>
      <c r="N23" s="4"/>
      <c r="O23" s="1">
        <f t="shared" si="0"/>
        <v>1000000</v>
      </c>
      <c r="P23" s="1">
        <f t="shared" si="1"/>
        <v>1000000</v>
      </c>
      <c r="Q23" s="1">
        <f t="shared" si="2"/>
        <v>1000000</v>
      </c>
    </row>
    <row r="24" spans="1:17" ht="12.75">
      <c r="A24" s="65"/>
      <c r="B24" s="19" t="s">
        <v>39</v>
      </c>
      <c r="C24" s="18"/>
      <c r="D24" s="4">
        <f>4*1000000</f>
        <v>4000000</v>
      </c>
      <c r="E24" s="12">
        <f>SUM(F24:N24)</f>
        <v>4000000</v>
      </c>
      <c r="F24" s="4">
        <v>4000000</v>
      </c>
      <c r="G24" s="4"/>
      <c r="H24" s="4"/>
      <c r="I24" s="4"/>
      <c r="J24" s="4"/>
      <c r="K24" s="4"/>
      <c r="L24" s="4"/>
      <c r="M24" s="4"/>
      <c r="N24" s="4"/>
      <c r="O24" s="1">
        <f t="shared" si="0"/>
        <v>4000000</v>
      </c>
      <c r="P24" s="1">
        <f t="shared" si="1"/>
        <v>4000000</v>
      </c>
      <c r="Q24" s="1">
        <f t="shared" si="2"/>
        <v>4000000</v>
      </c>
    </row>
    <row r="25" spans="1:17" ht="12.75">
      <c r="A25" s="65"/>
      <c r="B25" s="6" t="s">
        <v>6</v>
      </c>
      <c r="C25" s="7"/>
      <c r="D25" s="7">
        <f>SUM(D23:D24)</f>
        <v>5000000</v>
      </c>
      <c r="E25" s="7">
        <f>SUM(F25:N25)</f>
        <v>5000000</v>
      </c>
      <c r="F25" s="7">
        <f>SUM(F23:F24)</f>
        <v>5000000</v>
      </c>
      <c r="G25" s="7"/>
      <c r="H25" s="7"/>
      <c r="I25" s="7"/>
      <c r="J25" s="7"/>
      <c r="K25" s="7"/>
      <c r="L25" s="7"/>
      <c r="M25" s="7"/>
      <c r="N25" s="7"/>
      <c r="O25" s="1"/>
      <c r="P25" s="1"/>
      <c r="Q25" s="1"/>
    </row>
    <row r="26" spans="1:17" ht="12.75">
      <c r="A26" s="65"/>
      <c r="B26" s="2" t="s">
        <v>45</v>
      </c>
      <c r="C26" s="4" t="s">
        <v>44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1">
        <f t="shared" si="0"/>
        <v>0</v>
      </c>
      <c r="P26" s="1">
        <f t="shared" si="1"/>
        <v>0</v>
      </c>
      <c r="Q26" s="1">
        <f t="shared" si="2"/>
        <v>0</v>
      </c>
    </row>
    <row r="27" spans="1:17" ht="12.75">
      <c r="A27" s="65"/>
      <c r="B27" s="53" t="s">
        <v>65</v>
      </c>
      <c r="C27" s="50"/>
      <c r="D27" s="4">
        <v>30000000</v>
      </c>
      <c r="E27" s="12">
        <f>SUM(F27:N27)</f>
        <v>30000000</v>
      </c>
      <c r="F27" s="4"/>
      <c r="G27" s="4"/>
      <c r="H27" s="4"/>
      <c r="I27" s="4"/>
      <c r="J27" s="4"/>
      <c r="K27" s="4"/>
      <c r="L27" s="4">
        <v>30000000</v>
      </c>
      <c r="M27" s="4"/>
      <c r="N27" s="4"/>
      <c r="O27" s="1">
        <f t="shared" si="0"/>
        <v>30000000</v>
      </c>
      <c r="P27" s="1">
        <f t="shared" si="1"/>
        <v>30000000</v>
      </c>
      <c r="Q27" s="1">
        <f t="shared" si="2"/>
        <v>30000000</v>
      </c>
    </row>
    <row r="28" spans="1:17" ht="12.75">
      <c r="A28" s="65"/>
      <c r="B28" s="53" t="s">
        <v>66</v>
      </c>
      <c r="C28" s="50"/>
      <c r="D28" s="4">
        <v>5000000</v>
      </c>
      <c r="E28" s="12">
        <f>SUM(F28:N28)</f>
        <v>5000000</v>
      </c>
      <c r="F28" s="4"/>
      <c r="G28" s="4"/>
      <c r="H28" s="4"/>
      <c r="I28" s="4"/>
      <c r="J28" s="4"/>
      <c r="K28" s="4"/>
      <c r="L28" s="4">
        <v>5000000</v>
      </c>
      <c r="M28" s="4"/>
      <c r="N28" s="4"/>
      <c r="O28" s="1">
        <f t="shared" si="0"/>
        <v>5000000</v>
      </c>
      <c r="P28" s="1">
        <f t="shared" si="1"/>
        <v>5000000</v>
      </c>
      <c r="Q28" s="1">
        <f t="shared" si="2"/>
        <v>5000000</v>
      </c>
    </row>
    <row r="29" spans="1:17" ht="12.75">
      <c r="A29" s="65"/>
      <c r="B29" s="6" t="s">
        <v>23</v>
      </c>
      <c r="C29" s="7"/>
      <c r="D29" s="7">
        <f>SUM(D27:D28)</f>
        <v>35000000</v>
      </c>
      <c r="E29" s="7">
        <f>SUM(F29:N29)</f>
        <v>35000000</v>
      </c>
      <c r="F29" s="7"/>
      <c r="G29" s="7"/>
      <c r="H29" s="7"/>
      <c r="I29" s="7"/>
      <c r="J29" s="7"/>
      <c r="K29" s="7"/>
      <c r="L29" s="7">
        <f>SUM(L27:L28)</f>
        <v>35000000</v>
      </c>
      <c r="M29" s="7"/>
      <c r="N29" s="7"/>
      <c r="O29" s="1"/>
      <c r="P29" s="1"/>
      <c r="Q29" s="1"/>
    </row>
    <row r="30" spans="1:17" ht="12.75">
      <c r="A30" s="65"/>
      <c r="B30" s="2" t="s">
        <v>46</v>
      </c>
      <c r="C30" s="4" t="s">
        <v>37</v>
      </c>
      <c r="D30" s="4"/>
      <c r="E30" s="4"/>
      <c r="F30" s="5"/>
      <c r="G30" s="4"/>
      <c r="H30" s="4"/>
      <c r="I30" s="4"/>
      <c r="J30" s="4"/>
      <c r="K30" s="4"/>
      <c r="L30" s="4"/>
      <c r="M30" s="4"/>
      <c r="N30" s="4"/>
      <c r="O30" s="1">
        <f t="shared" si="0"/>
        <v>0</v>
      </c>
      <c r="P30" s="1">
        <f t="shared" si="1"/>
        <v>0</v>
      </c>
      <c r="Q30" s="1">
        <f t="shared" si="2"/>
        <v>0</v>
      </c>
    </row>
    <row r="31" spans="1:17" ht="12.75">
      <c r="A31" s="65"/>
      <c r="B31" s="54" t="s">
        <v>67</v>
      </c>
      <c r="C31" s="55"/>
      <c r="D31" s="4">
        <v>17000000</v>
      </c>
      <c r="E31" s="12">
        <f>SUM(F31:N31)</f>
        <v>17000000</v>
      </c>
      <c r="F31" s="5"/>
      <c r="G31" s="4">
        <v>17000000</v>
      </c>
      <c r="H31" s="4"/>
      <c r="I31" s="4"/>
      <c r="J31" s="4"/>
      <c r="K31" s="4"/>
      <c r="L31" s="4"/>
      <c r="M31" s="4"/>
      <c r="N31" s="4"/>
      <c r="O31" s="1">
        <f t="shared" si="0"/>
        <v>17000000</v>
      </c>
      <c r="P31" s="1">
        <f t="shared" si="1"/>
        <v>17000000</v>
      </c>
      <c r="Q31" s="1">
        <f t="shared" si="2"/>
        <v>17000000</v>
      </c>
    </row>
    <row r="32" spans="1:17" ht="12.75">
      <c r="A32" s="65"/>
      <c r="B32" s="56" t="s">
        <v>68</v>
      </c>
      <c r="C32" s="57"/>
      <c r="D32" s="4">
        <v>7000000</v>
      </c>
      <c r="E32" s="12">
        <f>SUM(F32:N32)</f>
        <v>7000000</v>
      </c>
      <c r="F32" s="5"/>
      <c r="G32" s="4"/>
      <c r="H32" s="4"/>
      <c r="I32" s="4"/>
      <c r="J32" s="4"/>
      <c r="K32" s="4"/>
      <c r="L32" s="4">
        <v>7000000</v>
      </c>
      <c r="M32" s="4"/>
      <c r="N32" s="4"/>
      <c r="O32" s="1">
        <f t="shared" si="0"/>
        <v>7000000</v>
      </c>
      <c r="P32" s="1">
        <f t="shared" si="1"/>
        <v>7000000</v>
      </c>
      <c r="Q32" s="1">
        <f t="shared" si="2"/>
        <v>7000000</v>
      </c>
    </row>
    <row r="33" spans="1:17" ht="12.75">
      <c r="A33" s="65"/>
      <c r="B33" s="21" t="s">
        <v>59</v>
      </c>
      <c r="C33" s="21"/>
      <c r="D33" s="4">
        <v>1000000</v>
      </c>
      <c r="E33" s="12">
        <f>SUM(F33:N33)</f>
        <v>1000000</v>
      </c>
      <c r="F33" s="5"/>
      <c r="G33" s="4"/>
      <c r="H33" s="4"/>
      <c r="I33" s="4"/>
      <c r="J33" s="4"/>
      <c r="K33" s="4"/>
      <c r="L33" s="4">
        <v>1000000</v>
      </c>
      <c r="M33" s="4"/>
      <c r="N33" s="4"/>
      <c r="O33" s="1">
        <f t="shared" si="0"/>
        <v>1000000</v>
      </c>
      <c r="P33" s="1">
        <f t="shared" si="1"/>
        <v>1000000</v>
      </c>
      <c r="Q33" s="1">
        <f t="shared" si="2"/>
        <v>1000000</v>
      </c>
    </row>
    <row r="34" spans="1:15" ht="12.75">
      <c r="A34" s="65"/>
      <c r="B34" s="6" t="s">
        <v>47</v>
      </c>
      <c r="C34" s="7"/>
      <c r="D34" s="7">
        <f>SUM(D31:D33)</f>
        <v>25000000</v>
      </c>
      <c r="E34" s="7">
        <f>SUM(F34:N34)</f>
        <v>25000000</v>
      </c>
      <c r="F34" s="7"/>
      <c r="G34" s="7">
        <f>SUM(G31:G33)</f>
        <v>17000000</v>
      </c>
      <c r="H34" s="7">
        <f>SUM(H30)</f>
        <v>0</v>
      </c>
      <c r="I34" s="7">
        <f>SUM(I30)</f>
        <v>0</v>
      </c>
      <c r="J34" s="7"/>
      <c r="K34" s="7">
        <f>SUM(K30)</f>
        <v>0</v>
      </c>
      <c r="L34" s="7">
        <f>SUM(L32:L33)</f>
        <v>8000000</v>
      </c>
      <c r="M34" s="7"/>
      <c r="N34" s="7"/>
      <c r="O34" s="1"/>
    </row>
    <row r="35" spans="1:15" ht="12.75">
      <c r="A35" s="8" t="s">
        <v>7</v>
      </c>
      <c r="B35" s="8"/>
      <c r="C35" s="9"/>
      <c r="D35" s="9">
        <f>D10+D21+D25+D29+D34</f>
        <v>402685000</v>
      </c>
      <c r="E35" s="9">
        <f>SUM(F35:N35)</f>
        <v>402685000</v>
      </c>
      <c r="F35" s="9">
        <f aca="true" t="shared" si="5" ref="F35:N35">F10+F21+F25+F29+F34</f>
        <v>17500000</v>
      </c>
      <c r="G35" s="9">
        <f t="shared" si="5"/>
        <v>22935000</v>
      </c>
      <c r="H35" s="9">
        <f t="shared" si="5"/>
        <v>5000000</v>
      </c>
      <c r="I35" s="9">
        <f t="shared" si="5"/>
        <v>47565000</v>
      </c>
      <c r="J35" s="9">
        <f t="shared" si="5"/>
        <v>48125000</v>
      </c>
      <c r="K35" s="9">
        <f t="shared" si="5"/>
        <v>625000</v>
      </c>
      <c r="L35" s="9">
        <f t="shared" si="5"/>
        <v>135935000</v>
      </c>
      <c r="M35" s="9">
        <f t="shared" si="5"/>
        <v>50000000</v>
      </c>
      <c r="N35" s="9">
        <f t="shared" si="5"/>
        <v>75000000</v>
      </c>
      <c r="O35" s="1">
        <f t="shared" si="0"/>
        <v>402685000</v>
      </c>
    </row>
    <row r="36" spans="1:14" ht="12.75">
      <c r="A36" s="5"/>
      <c r="B36" s="5"/>
      <c r="C36" s="4"/>
      <c r="D36" s="28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75">
      <c r="A37" s="46" t="s">
        <v>11</v>
      </c>
      <c r="B37" s="2" t="s">
        <v>69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47"/>
      <c r="B38" s="2" t="s">
        <v>12</v>
      </c>
      <c r="C38" s="4" t="s">
        <v>24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5" ht="12.75">
      <c r="A39" s="47"/>
      <c r="B39" s="22" t="s">
        <v>30</v>
      </c>
      <c r="C39" s="23"/>
      <c r="D39" s="4">
        <f>178565000</f>
        <v>178565000</v>
      </c>
      <c r="E39" s="12">
        <f>SUM(F39:N39)</f>
        <v>178565000</v>
      </c>
      <c r="F39" s="4"/>
      <c r="G39" s="4">
        <v>10065000</v>
      </c>
      <c r="H39" s="4">
        <f>9150000+2100000+7500000</f>
        <v>18750000</v>
      </c>
      <c r="I39" s="4"/>
      <c r="J39" s="4"/>
      <c r="K39" s="4"/>
      <c r="L39" s="4">
        <v>27000000</v>
      </c>
      <c r="M39" s="4">
        <v>84000000</v>
      </c>
      <c r="N39" s="4">
        <f>38750000</f>
        <v>38750000</v>
      </c>
      <c r="O39" s="1"/>
    </row>
    <row r="40" spans="1:14" ht="12.75">
      <c r="A40" s="47"/>
      <c r="B40" s="19" t="s">
        <v>31</v>
      </c>
      <c r="C40" s="18"/>
      <c r="D40" s="4">
        <v>20000000</v>
      </c>
      <c r="E40" s="12">
        <f>SUM(F40:N40)</f>
        <v>20000000</v>
      </c>
      <c r="F40" s="4"/>
      <c r="G40" s="4">
        <v>8250000</v>
      </c>
      <c r="H40" s="4">
        <f>11400000-5000000</f>
        <v>6400000</v>
      </c>
      <c r="I40" s="30">
        <v>5000000</v>
      </c>
      <c r="J40" s="4">
        <v>350000</v>
      </c>
      <c r="K40" s="4"/>
      <c r="L40" s="4"/>
      <c r="M40" s="4"/>
      <c r="N40" s="4"/>
    </row>
    <row r="41" spans="1:14" ht="12.75">
      <c r="A41" s="47"/>
      <c r="B41" s="19" t="s">
        <v>32</v>
      </c>
      <c r="C41" s="18"/>
      <c r="D41" s="4">
        <f>14250000</f>
        <v>14250000</v>
      </c>
      <c r="E41" s="12">
        <f>SUM(F41:N41)</f>
        <v>14250000</v>
      </c>
      <c r="F41" s="4">
        <v>4250000</v>
      </c>
      <c r="G41" s="4"/>
      <c r="H41" s="4"/>
      <c r="I41" s="30">
        <v>5000000</v>
      </c>
      <c r="J41" s="4">
        <v>5000000</v>
      </c>
      <c r="K41" s="4"/>
      <c r="L41" s="4"/>
      <c r="M41" s="4"/>
      <c r="N41" s="4"/>
    </row>
    <row r="42" spans="1:14" ht="12.75">
      <c r="A42" s="47"/>
      <c r="B42" s="19" t="s">
        <v>33</v>
      </c>
      <c r="C42" s="18"/>
      <c r="D42" s="4">
        <v>14000000</v>
      </c>
      <c r="E42" s="12">
        <f>SUM(F42:N42)</f>
        <v>14000000</v>
      </c>
      <c r="F42" s="4">
        <v>5000000</v>
      </c>
      <c r="G42" s="4"/>
      <c r="H42" s="4"/>
      <c r="I42" s="30">
        <v>4000000</v>
      </c>
      <c r="J42" s="4">
        <v>5000000</v>
      </c>
      <c r="K42" s="4"/>
      <c r="L42" s="4"/>
      <c r="M42" s="4"/>
      <c r="N42" s="4"/>
    </row>
    <row r="43" spans="1:14" ht="12.75">
      <c r="A43" s="47"/>
      <c r="B43" s="22" t="s">
        <v>55</v>
      </c>
      <c r="C43" s="23"/>
      <c r="D43" s="4">
        <v>13500000</v>
      </c>
      <c r="E43" s="12">
        <f>SUM(F43:N43)</f>
        <v>13500000</v>
      </c>
      <c r="F43" s="4"/>
      <c r="G43" s="4"/>
      <c r="H43" s="4"/>
      <c r="I43" s="4"/>
      <c r="J43" s="4"/>
      <c r="K43" s="4"/>
      <c r="L43" s="4"/>
      <c r="M43" s="4">
        <v>13500000</v>
      </c>
      <c r="N43" s="4"/>
    </row>
    <row r="44" spans="1:14" ht="12.75">
      <c r="A44" s="47"/>
      <c r="B44" s="6" t="s">
        <v>13</v>
      </c>
      <c r="C44" s="7"/>
      <c r="D44" s="7">
        <f>SUM(D39:D43)</f>
        <v>240315000</v>
      </c>
      <c r="E44" s="7">
        <f>SUM(E39:E43)</f>
        <v>240315000</v>
      </c>
      <c r="F44" s="7">
        <f>SUM(F41:F43)</f>
        <v>9250000</v>
      </c>
      <c r="G44" s="7">
        <f>SUM(G39:G43)</f>
        <v>18315000</v>
      </c>
      <c r="H44" s="7">
        <f>SUM(H39:H41)</f>
        <v>25150000</v>
      </c>
      <c r="I44" s="7">
        <f>SUM(I38:I42)</f>
        <v>14000000</v>
      </c>
      <c r="J44" s="7">
        <f>SUM(J39:J42)</f>
        <v>10350000</v>
      </c>
      <c r="K44" s="7">
        <f>SUM(K39:K41)</f>
        <v>0</v>
      </c>
      <c r="L44" s="7">
        <f>SUM(L39:L41)</f>
        <v>27000000</v>
      </c>
      <c r="M44" s="7">
        <f>SUM(M38:M43)</f>
        <v>97500000</v>
      </c>
      <c r="N44" s="7">
        <f>SUM(N38:N43)</f>
        <v>38750000</v>
      </c>
    </row>
    <row r="45" spans="1:14" ht="12.75">
      <c r="A45" s="47"/>
      <c r="B45" s="2" t="s">
        <v>14</v>
      </c>
      <c r="C45" s="4" t="s">
        <v>25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2.75">
      <c r="A46" s="47"/>
      <c r="B46" s="13" t="s">
        <v>51</v>
      </c>
      <c r="C46" s="1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2.75">
      <c r="A47" s="47"/>
      <c r="B47" s="25" t="s">
        <v>48</v>
      </c>
      <c r="C47" s="26"/>
      <c r="D47" s="14">
        <f>11*1000000</f>
        <v>11000000</v>
      </c>
      <c r="E47" s="12">
        <f aca="true" t="shared" si="6" ref="E47:E53">SUM(F47:N47)</f>
        <v>11000000</v>
      </c>
      <c r="F47" s="4"/>
      <c r="G47" s="4"/>
      <c r="H47" s="4"/>
      <c r="I47" s="4"/>
      <c r="J47" s="4"/>
      <c r="K47" s="4"/>
      <c r="L47" s="4">
        <v>3000000</v>
      </c>
      <c r="M47" s="4">
        <v>8000000</v>
      </c>
      <c r="N47" s="4"/>
    </row>
    <row r="48" spans="1:14" ht="12.75">
      <c r="A48" s="47"/>
      <c r="B48" s="25" t="s">
        <v>52</v>
      </c>
      <c r="C48" s="26"/>
      <c r="D48" s="14">
        <f>6500000</f>
        <v>6500000</v>
      </c>
      <c r="E48" s="12">
        <f t="shared" si="6"/>
        <v>6500000</v>
      </c>
      <c r="F48" s="4"/>
      <c r="G48" s="4"/>
      <c r="H48" s="4"/>
      <c r="I48" s="4"/>
      <c r="J48" s="4"/>
      <c r="K48" s="4"/>
      <c r="L48" s="4">
        <v>1000000</v>
      </c>
      <c r="M48" s="4">
        <v>5500000</v>
      </c>
      <c r="N48" s="4"/>
    </row>
    <row r="49" spans="1:14" ht="12.75">
      <c r="A49" s="47"/>
      <c r="B49" s="24" t="s">
        <v>49</v>
      </c>
      <c r="C49" s="22"/>
      <c r="D49" s="14">
        <f>12500000</f>
        <v>12500000</v>
      </c>
      <c r="E49" s="12">
        <f t="shared" si="6"/>
        <v>12500000</v>
      </c>
      <c r="F49" s="4"/>
      <c r="G49" s="4"/>
      <c r="H49" s="4"/>
      <c r="I49" s="4"/>
      <c r="J49" s="4"/>
      <c r="K49" s="4"/>
      <c r="L49" s="4">
        <v>6500000</v>
      </c>
      <c r="M49" s="4">
        <v>6000000</v>
      </c>
      <c r="N49" s="4"/>
    </row>
    <row r="50" spans="1:14" ht="12.75">
      <c r="A50" s="47"/>
      <c r="B50" s="20" t="s">
        <v>54</v>
      </c>
      <c r="C50" s="19"/>
      <c r="D50" s="14">
        <f>3*10000000</f>
        <v>30000000</v>
      </c>
      <c r="E50" s="12">
        <f t="shared" si="6"/>
        <v>30000000</v>
      </c>
      <c r="F50" s="4"/>
      <c r="G50" s="4"/>
      <c r="H50" s="4"/>
      <c r="I50" s="4"/>
      <c r="J50" s="4"/>
      <c r="K50" s="4"/>
      <c r="L50" s="4">
        <v>10000000</v>
      </c>
      <c r="M50" s="4">
        <v>20000000</v>
      </c>
      <c r="N50" s="4"/>
    </row>
    <row r="51" spans="1:14" ht="12.75">
      <c r="A51" s="47"/>
      <c r="B51" s="24" t="s">
        <v>50</v>
      </c>
      <c r="C51" s="22"/>
      <c r="D51" s="14">
        <v>19000000</v>
      </c>
      <c r="E51" s="12">
        <f>SUM(F51:N51)</f>
        <v>19000000</v>
      </c>
      <c r="F51" s="4"/>
      <c r="G51" s="4"/>
      <c r="H51" s="4"/>
      <c r="I51" s="4"/>
      <c r="J51" s="4">
        <v>3750000</v>
      </c>
      <c r="K51" s="4">
        <v>1250000</v>
      </c>
      <c r="L51" s="4"/>
      <c r="M51" s="4">
        <v>14000000</v>
      </c>
      <c r="N51" s="4"/>
    </row>
    <row r="52" spans="1:14" ht="12.75">
      <c r="A52" s="47"/>
      <c r="B52" s="58" t="s">
        <v>35</v>
      </c>
      <c r="C52" s="52"/>
      <c r="D52" s="4">
        <v>11250000</v>
      </c>
      <c r="E52" s="12">
        <f t="shared" si="6"/>
        <v>11250000</v>
      </c>
      <c r="F52" s="4"/>
      <c r="G52" s="4"/>
      <c r="H52" s="4"/>
      <c r="I52" s="4"/>
      <c r="J52" s="4"/>
      <c r="K52" s="4"/>
      <c r="L52" s="4"/>
      <c r="M52" s="4">
        <f>11250000</f>
        <v>11250000</v>
      </c>
      <c r="N52" s="4"/>
    </row>
    <row r="53" spans="1:14" ht="12.75">
      <c r="A53" s="47"/>
      <c r="B53" s="22" t="s">
        <v>34</v>
      </c>
      <c r="C53" s="23"/>
      <c r="D53" s="4">
        <v>11000000</v>
      </c>
      <c r="E53" s="12">
        <f t="shared" si="6"/>
        <v>11000000</v>
      </c>
      <c r="F53" s="4"/>
      <c r="G53" s="4"/>
      <c r="H53" s="4"/>
      <c r="I53" s="4"/>
      <c r="J53" s="4"/>
      <c r="K53" s="4"/>
      <c r="L53" s="4">
        <v>11000000</v>
      </c>
      <c r="M53" s="4"/>
      <c r="N53" s="4"/>
    </row>
    <row r="54" spans="1:14" ht="12.75">
      <c r="A54" s="47"/>
      <c r="B54" s="6" t="s">
        <v>15</v>
      </c>
      <c r="C54" s="7"/>
      <c r="D54" s="7">
        <f>SUM(D47:D53)</f>
        <v>101250000</v>
      </c>
      <c r="E54" s="7">
        <f>SUM(F54:N54)</f>
        <v>101250000</v>
      </c>
      <c r="F54" s="7">
        <f>SUM(F47:F53)</f>
        <v>0</v>
      </c>
      <c r="G54" s="7"/>
      <c r="H54" s="7">
        <f aca="true" t="shared" si="7" ref="H54:N54">SUM(H47:H53)</f>
        <v>0</v>
      </c>
      <c r="I54" s="7">
        <f t="shared" si="7"/>
        <v>0</v>
      </c>
      <c r="J54" s="7">
        <f t="shared" si="7"/>
        <v>3750000</v>
      </c>
      <c r="K54" s="7">
        <f t="shared" si="7"/>
        <v>1250000</v>
      </c>
      <c r="L54" s="7">
        <f t="shared" si="7"/>
        <v>31500000</v>
      </c>
      <c r="M54" s="7">
        <f>SUM(M47:M53)</f>
        <v>64750000</v>
      </c>
      <c r="N54" s="7">
        <f t="shared" si="7"/>
        <v>0</v>
      </c>
    </row>
    <row r="55" spans="1:14" ht="12.75">
      <c r="A55" s="47"/>
      <c r="B55" s="2" t="s">
        <v>17</v>
      </c>
      <c r="C55" s="4" t="s">
        <v>26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5" ht="12.75">
      <c r="A56" s="47"/>
      <c r="B56" s="19" t="s">
        <v>27</v>
      </c>
      <c r="C56" s="18"/>
      <c r="D56" s="4">
        <f>87250000</f>
        <v>87250000</v>
      </c>
      <c r="E56" s="12">
        <f aca="true" t="shared" si="8" ref="E56:E62">SUM(F56:N56)</f>
        <v>87250000</v>
      </c>
      <c r="F56" s="4">
        <v>5000000</v>
      </c>
      <c r="G56" s="4"/>
      <c r="H56" s="4">
        <v>5250000</v>
      </c>
      <c r="I56" s="4"/>
      <c r="J56" s="4"/>
      <c r="K56" s="4">
        <v>31250000</v>
      </c>
      <c r="L56" s="4">
        <f>6000000+3000000</f>
        <v>9000000</v>
      </c>
      <c r="M56" s="4">
        <f>10000000+33000000-31250000</f>
        <v>11750000</v>
      </c>
      <c r="N56" s="4">
        <v>25000000</v>
      </c>
      <c r="O56" s="1"/>
    </row>
    <row r="57" spans="1:14" ht="12.75">
      <c r="A57" s="47"/>
      <c r="B57" s="24" t="s">
        <v>56</v>
      </c>
      <c r="C57" s="22"/>
      <c r="D57" s="14">
        <f>3*12000000</f>
        <v>36000000</v>
      </c>
      <c r="E57" s="12">
        <f>SUM(F57:N57)</f>
        <v>36000000</v>
      </c>
      <c r="F57" s="4"/>
      <c r="G57" s="4"/>
      <c r="H57" s="4">
        <v>2100000</v>
      </c>
      <c r="I57" s="4"/>
      <c r="J57" s="4">
        <v>900000</v>
      </c>
      <c r="K57" s="4"/>
      <c r="L57" s="4">
        <v>11000000</v>
      </c>
      <c r="M57" s="4">
        <v>12000000</v>
      </c>
      <c r="N57" s="4">
        <v>10000000</v>
      </c>
    </row>
    <row r="58" spans="1:14" ht="12.75">
      <c r="A58" s="47"/>
      <c r="B58" s="53" t="s">
        <v>28</v>
      </c>
      <c r="C58" s="43"/>
      <c r="D58" s="4">
        <v>19000000</v>
      </c>
      <c r="E58" s="12">
        <f t="shared" si="8"/>
        <v>19000000</v>
      </c>
      <c r="F58" s="4"/>
      <c r="G58" s="4"/>
      <c r="H58" s="4"/>
      <c r="I58" s="4"/>
      <c r="J58" s="4"/>
      <c r="K58" s="4"/>
      <c r="L58" s="4"/>
      <c r="M58" s="4">
        <f>29000000-15000000</f>
        <v>14000000</v>
      </c>
      <c r="N58" s="4">
        <f>5000000</f>
        <v>5000000</v>
      </c>
    </row>
    <row r="59" spans="1:14" ht="12.75">
      <c r="A59" s="47"/>
      <c r="B59" s="42" t="s">
        <v>29</v>
      </c>
      <c r="C59" s="43"/>
      <c r="D59" s="4"/>
      <c r="E59" s="12"/>
      <c r="F59" s="4"/>
      <c r="G59" s="4"/>
      <c r="H59" s="4"/>
      <c r="I59" s="4"/>
      <c r="J59" s="4"/>
      <c r="K59" s="4"/>
      <c r="L59" s="4"/>
      <c r="M59" s="4"/>
      <c r="N59" s="4"/>
    </row>
    <row r="60" spans="1:14" ht="12.75">
      <c r="A60" s="47"/>
      <c r="B60" s="25" t="s">
        <v>70</v>
      </c>
      <c r="C60" s="27"/>
      <c r="D60" s="4">
        <v>48250000</v>
      </c>
      <c r="E60" s="12">
        <f t="shared" si="8"/>
        <v>48250000</v>
      </c>
      <c r="F60" s="4">
        <v>2250000</v>
      </c>
      <c r="G60" s="4"/>
      <c r="H60" s="4"/>
      <c r="I60" s="4"/>
      <c r="J60" s="4"/>
      <c r="K60" s="4"/>
      <c r="L60" s="4">
        <f>26000000</f>
        <v>26000000</v>
      </c>
      <c r="M60" s="4"/>
      <c r="N60" s="9">
        <v>20000000</v>
      </c>
    </row>
    <row r="61" spans="1:14" ht="12.75">
      <c r="A61" s="47"/>
      <c r="B61" s="24" t="s">
        <v>53</v>
      </c>
      <c r="C61" s="23"/>
      <c r="D61" s="4">
        <f>112500000</f>
        <v>112500000</v>
      </c>
      <c r="E61" s="12">
        <f t="shared" si="8"/>
        <v>112500000</v>
      </c>
      <c r="F61" s="4">
        <v>11000000</v>
      </c>
      <c r="G61" s="4"/>
      <c r="H61" s="4"/>
      <c r="I61" s="4"/>
      <c r="J61" s="4">
        <v>5625000</v>
      </c>
      <c r="K61" s="4">
        <v>18375000</v>
      </c>
      <c r="L61" s="4">
        <f>52500000</f>
        <v>52500000</v>
      </c>
      <c r="M61" s="4"/>
      <c r="N61" s="9">
        <v>25000000</v>
      </c>
    </row>
    <row r="62" spans="1:14" ht="12.75">
      <c r="A62" s="47"/>
      <c r="B62" s="19" t="s">
        <v>36</v>
      </c>
      <c r="C62" s="18"/>
      <c r="D62" s="4">
        <f>107750000</f>
        <v>107750000</v>
      </c>
      <c r="E62" s="12">
        <f t="shared" si="8"/>
        <v>107750000</v>
      </c>
      <c r="F62" s="4"/>
      <c r="G62" s="4"/>
      <c r="H62" s="4"/>
      <c r="I62" s="4">
        <v>13435000</v>
      </c>
      <c r="J62" s="4"/>
      <c r="K62" s="4">
        <f>11000000</f>
        <v>11000000</v>
      </c>
      <c r="L62" s="4">
        <f>14000000+4065000-11000000</f>
        <v>7065000</v>
      </c>
      <c r="M62" s="4">
        <f>16250000+27500000-18750000</f>
        <v>25000000</v>
      </c>
      <c r="N62" s="4">
        <f>51250000</f>
        <v>51250000</v>
      </c>
    </row>
    <row r="63" spans="1:14" ht="12.75">
      <c r="A63" s="48"/>
      <c r="B63" s="6" t="s">
        <v>16</v>
      </c>
      <c r="C63" s="7"/>
      <c r="D63" s="7">
        <f>SUM(D56:D62)</f>
        <v>410750000</v>
      </c>
      <c r="E63" s="7">
        <f>SUM(F63:N63)</f>
        <v>410750000</v>
      </c>
      <c r="F63" s="7">
        <f>SUM(F56:F62)</f>
        <v>18250000</v>
      </c>
      <c r="G63" s="7">
        <f aca="true" t="shared" si="9" ref="G63:N63">SUM(G56:G62)</f>
        <v>0</v>
      </c>
      <c r="H63" s="7">
        <f t="shared" si="9"/>
        <v>7350000</v>
      </c>
      <c r="I63" s="7">
        <f t="shared" si="9"/>
        <v>13435000</v>
      </c>
      <c r="J63" s="7">
        <f t="shared" si="9"/>
        <v>6525000</v>
      </c>
      <c r="K63" s="7">
        <f t="shared" si="9"/>
        <v>60625000</v>
      </c>
      <c r="L63" s="7">
        <f t="shared" si="9"/>
        <v>105565000</v>
      </c>
      <c r="M63" s="7">
        <f t="shared" si="9"/>
        <v>62750000</v>
      </c>
      <c r="N63" s="7">
        <f t="shared" si="9"/>
        <v>136250000</v>
      </c>
    </row>
    <row r="64" spans="1:14" ht="12.75">
      <c r="A64" s="8" t="s">
        <v>18</v>
      </c>
      <c r="B64" s="8"/>
      <c r="C64" s="9"/>
      <c r="D64" s="12">
        <f>D44+D54+D63</f>
        <v>752315000</v>
      </c>
      <c r="E64" s="12">
        <f>SUM(F64:N64)</f>
        <v>752315000</v>
      </c>
      <c r="F64" s="9">
        <f aca="true" t="shared" si="10" ref="F64:N64">F44+F54+F63</f>
        <v>27500000</v>
      </c>
      <c r="G64" s="9">
        <f t="shared" si="10"/>
        <v>18315000</v>
      </c>
      <c r="H64" s="9">
        <f t="shared" si="10"/>
        <v>32500000</v>
      </c>
      <c r="I64" s="9">
        <f t="shared" si="10"/>
        <v>27435000</v>
      </c>
      <c r="J64" s="9">
        <f t="shared" si="10"/>
        <v>20625000</v>
      </c>
      <c r="K64" s="9">
        <f t="shared" si="10"/>
        <v>61875000</v>
      </c>
      <c r="L64" s="9">
        <f t="shared" si="10"/>
        <v>164065000</v>
      </c>
      <c r="M64" s="9">
        <f t="shared" si="10"/>
        <v>225000000</v>
      </c>
      <c r="N64" s="9">
        <f t="shared" si="10"/>
        <v>175000000</v>
      </c>
    </row>
    <row r="65" spans="1:14" ht="12.75">
      <c r="A65" s="5" t="s">
        <v>19</v>
      </c>
      <c r="B65" s="5"/>
      <c r="C65" s="4"/>
      <c r="D65" s="4"/>
      <c r="E65" s="4">
        <f aca="true" t="shared" si="11" ref="E65:N65">E35+E64</f>
        <v>1155000000</v>
      </c>
      <c r="F65" s="4">
        <f t="shared" si="11"/>
        <v>45000000</v>
      </c>
      <c r="G65" s="4">
        <f t="shared" si="11"/>
        <v>41250000</v>
      </c>
      <c r="H65" s="4">
        <f t="shared" si="11"/>
        <v>37500000</v>
      </c>
      <c r="I65" s="4">
        <f t="shared" si="11"/>
        <v>75000000</v>
      </c>
      <c r="J65" s="4">
        <f t="shared" si="11"/>
        <v>68750000</v>
      </c>
      <c r="K65" s="4">
        <f t="shared" si="11"/>
        <v>62500000</v>
      </c>
      <c r="L65" s="12">
        <f t="shared" si="11"/>
        <v>300000000</v>
      </c>
      <c r="M65" s="4">
        <f t="shared" si="11"/>
        <v>275000000</v>
      </c>
      <c r="N65" s="4">
        <f t="shared" si="11"/>
        <v>250000000</v>
      </c>
    </row>
    <row r="66" spans="1:14" ht="12.75">
      <c r="A66" s="15" t="s">
        <v>19</v>
      </c>
      <c r="B66" s="15"/>
      <c r="C66" s="16"/>
      <c r="D66" s="16">
        <f>D35+D64</f>
        <v>1155000000</v>
      </c>
      <c r="E66" s="16">
        <f>SUM(F66:N66)</f>
        <v>1155000000</v>
      </c>
      <c r="F66" s="16">
        <v>45000000</v>
      </c>
      <c r="G66" s="16">
        <v>41250000</v>
      </c>
      <c r="H66" s="16">
        <v>37500000</v>
      </c>
      <c r="I66" s="16">
        <v>75000000</v>
      </c>
      <c r="J66" s="16">
        <v>68750000</v>
      </c>
      <c r="K66" s="16">
        <v>62500000</v>
      </c>
      <c r="L66" s="16">
        <v>300000000</v>
      </c>
      <c r="M66" s="16">
        <v>275000000</v>
      </c>
      <c r="N66" s="16">
        <v>250000000</v>
      </c>
    </row>
    <row r="67" spans="3:6" ht="12.75">
      <c r="C67" t="s">
        <v>80</v>
      </c>
      <c r="D67" s="31">
        <f>F66+I66+L66</f>
        <v>420000000</v>
      </c>
      <c r="E67" s="1"/>
      <c r="F67" s="1"/>
    </row>
    <row r="68" spans="3:14" ht="12.75">
      <c r="C68" t="s">
        <v>81</v>
      </c>
      <c r="D68" s="31">
        <f>G66+J66+M66</f>
        <v>385000000</v>
      </c>
      <c r="E68" s="1"/>
      <c r="F68" s="1"/>
      <c r="G68" s="1"/>
      <c r="L68" s="1">
        <f>E62-D62</f>
        <v>0</v>
      </c>
      <c r="M68" s="1">
        <f>M65-M66</f>
        <v>0</v>
      </c>
      <c r="N68" s="1">
        <f>N66-N65</f>
        <v>0</v>
      </c>
    </row>
    <row r="69" spans="3:4" ht="12.75">
      <c r="C69" t="s">
        <v>82</v>
      </c>
      <c r="D69" s="31">
        <f>H66+K66+N66</f>
        <v>350000000</v>
      </c>
    </row>
  </sheetData>
  <sheetProtection/>
  <mergeCells count="25">
    <mergeCell ref="I2:K2"/>
    <mergeCell ref="L2:N2"/>
    <mergeCell ref="A4:A34"/>
    <mergeCell ref="B7:C7"/>
    <mergeCell ref="B8:C8"/>
    <mergeCell ref="B13:C13"/>
    <mergeCell ref="B14:C14"/>
    <mergeCell ref="B15:C15"/>
    <mergeCell ref="B16:C16"/>
    <mergeCell ref="B17:C17"/>
    <mergeCell ref="B58:C58"/>
    <mergeCell ref="B20:C20"/>
    <mergeCell ref="A2:E3"/>
    <mergeCell ref="B6:C6"/>
    <mergeCell ref="B9:C9"/>
    <mergeCell ref="B59:C59"/>
    <mergeCell ref="F2:H2"/>
    <mergeCell ref="A37:A63"/>
    <mergeCell ref="B19:C19"/>
    <mergeCell ref="B18:C18"/>
    <mergeCell ref="B27:C27"/>
    <mergeCell ref="B28:C28"/>
    <mergeCell ref="B31:C31"/>
    <mergeCell ref="B32:C32"/>
    <mergeCell ref="B52:C52"/>
  </mergeCells>
  <hyperlinks>
    <hyperlink ref="A2" r:id="rId1" display="WWW.DESTINATIONSOLO.COM"/>
  </hyperlinks>
  <printOptions/>
  <pageMargins left="0.75" right="0.75" top="1" bottom="1" header="0.5" footer="0.5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4.28125" style="0" customWidth="1"/>
    <col min="2" max="2" width="19.57421875" style="0" customWidth="1"/>
    <col min="3" max="3" width="10.8515625" style="0" customWidth="1"/>
    <col min="4" max="4" width="16.140625" style="0" customWidth="1"/>
    <col min="5" max="6" width="9.00390625" style="0" customWidth="1"/>
    <col min="7" max="7" width="8.57421875" style="0" customWidth="1"/>
    <col min="8" max="8" width="9.7109375" style="0" customWidth="1"/>
    <col min="9" max="10" width="11.57421875" style="0" customWidth="1"/>
    <col min="11" max="11" width="14.8515625" style="0" customWidth="1"/>
    <col min="12" max="12" width="16.140625" style="0" customWidth="1"/>
  </cols>
  <sheetData>
    <row r="1" spans="1:2" ht="18">
      <c r="A1" s="32" t="s">
        <v>109</v>
      </c>
      <c r="B1" s="33"/>
    </row>
    <row r="2" spans="1:12" ht="12.75">
      <c r="A2" s="34"/>
      <c r="B2" s="79" t="s">
        <v>124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2.75">
      <c r="A3" s="34"/>
      <c r="B3" s="79" t="s">
        <v>141</v>
      </c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2.75">
      <c r="A4" s="34"/>
      <c r="B4" s="79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12.75">
      <c r="A5" s="81" t="s">
        <v>72</v>
      </c>
      <c r="B5" s="82" t="s">
        <v>73</v>
      </c>
      <c r="C5" s="81" t="s">
        <v>79</v>
      </c>
      <c r="D5" s="81" t="s">
        <v>86</v>
      </c>
      <c r="E5" s="82" t="s">
        <v>90</v>
      </c>
      <c r="F5" s="84" t="s">
        <v>116</v>
      </c>
      <c r="G5" s="81" t="s">
        <v>84</v>
      </c>
      <c r="H5" s="81" t="s">
        <v>83</v>
      </c>
      <c r="I5" s="82" t="s">
        <v>85</v>
      </c>
      <c r="J5" s="84" t="s">
        <v>117</v>
      </c>
      <c r="K5" s="81" t="s">
        <v>75</v>
      </c>
      <c r="L5" s="81" t="s">
        <v>77</v>
      </c>
    </row>
    <row r="6" spans="1:12" ht="12.75">
      <c r="A6" s="81"/>
      <c r="B6" s="82"/>
      <c r="C6" s="81"/>
      <c r="D6" s="81"/>
      <c r="E6" s="82"/>
      <c r="F6" s="85"/>
      <c r="G6" s="81"/>
      <c r="H6" s="81"/>
      <c r="I6" s="83"/>
      <c r="J6" s="87"/>
      <c r="K6" s="81"/>
      <c r="L6" s="81"/>
    </row>
    <row r="7" spans="1:12" ht="12.75">
      <c r="A7" s="72">
        <v>1</v>
      </c>
      <c r="B7" s="69" t="s">
        <v>74</v>
      </c>
      <c r="C7" s="73" t="s">
        <v>89</v>
      </c>
      <c r="D7" s="35" t="s">
        <v>94</v>
      </c>
      <c r="E7" s="36">
        <v>100000</v>
      </c>
      <c r="F7" s="36">
        <v>55000</v>
      </c>
      <c r="G7" s="35">
        <v>11</v>
      </c>
      <c r="H7" s="35" t="s">
        <v>88</v>
      </c>
      <c r="I7" s="36">
        <f>E7*G7</f>
        <v>1100000</v>
      </c>
      <c r="J7" s="86">
        <f>F7*G7</f>
        <v>605000</v>
      </c>
      <c r="K7" s="69" t="s">
        <v>76</v>
      </c>
      <c r="L7" s="74" t="s">
        <v>78</v>
      </c>
    </row>
    <row r="8" spans="1:12" ht="12.75">
      <c r="A8" s="75"/>
      <c r="B8" s="70"/>
      <c r="C8" s="70"/>
      <c r="D8" s="35" t="s">
        <v>95</v>
      </c>
      <c r="E8" s="36">
        <v>25000</v>
      </c>
      <c r="F8" s="36">
        <v>15000</v>
      </c>
      <c r="G8" s="35">
        <v>100</v>
      </c>
      <c r="H8" s="35" t="s">
        <v>87</v>
      </c>
      <c r="I8" s="36">
        <f>E8*G8</f>
        <v>2500000</v>
      </c>
      <c r="J8" s="86">
        <f>F8*G8</f>
        <v>1500000</v>
      </c>
      <c r="K8" s="70"/>
      <c r="L8" s="70"/>
    </row>
    <row r="9" spans="1:12" ht="12.75">
      <c r="A9" s="75"/>
      <c r="B9" s="70"/>
      <c r="C9" s="70"/>
      <c r="D9" s="35" t="s">
        <v>96</v>
      </c>
      <c r="E9" s="36">
        <v>5000</v>
      </c>
      <c r="F9" s="36">
        <v>1000</v>
      </c>
      <c r="G9" s="35">
        <v>100</v>
      </c>
      <c r="H9" s="35" t="s">
        <v>87</v>
      </c>
      <c r="I9" s="36">
        <f>E9*G9</f>
        <v>500000</v>
      </c>
      <c r="J9" s="86">
        <f>F9*G9</f>
        <v>100000</v>
      </c>
      <c r="K9" s="70"/>
      <c r="L9" s="70"/>
    </row>
    <row r="10" spans="1:12" ht="12.75">
      <c r="A10" s="75"/>
      <c r="B10" s="70"/>
      <c r="C10" s="70"/>
      <c r="D10" s="80" t="s">
        <v>113</v>
      </c>
      <c r="E10" s="35"/>
      <c r="F10" s="35"/>
      <c r="G10" s="35"/>
      <c r="H10" s="35"/>
      <c r="I10" s="37">
        <f>SUM(I7:I9)</f>
        <v>4100000</v>
      </c>
      <c r="J10" s="37">
        <f>SUM(J7:J9)</f>
        <v>2205000</v>
      </c>
      <c r="K10" s="70"/>
      <c r="L10" s="70"/>
    </row>
    <row r="11" spans="1:12" ht="12.75">
      <c r="A11" s="76"/>
      <c r="B11" s="71"/>
      <c r="C11" s="71"/>
      <c r="D11" s="80"/>
      <c r="E11" s="36"/>
      <c r="F11" s="36"/>
      <c r="G11" s="35"/>
      <c r="H11" s="35"/>
      <c r="I11" s="35"/>
      <c r="J11" s="88"/>
      <c r="K11" s="71"/>
      <c r="L11" s="71"/>
    </row>
    <row r="12" spans="1:12" ht="12.75">
      <c r="A12" s="72">
        <v>2</v>
      </c>
      <c r="B12" s="69" t="s">
        <v>92</v>
      </c>
      <c r="C12" s="69" t="s">
        <v>118</v>
      </c>
      <c r="D12" s="35" t="s">
        <v>97</v>
      </c>
      <c r="E12" s="36">
        <v>24000</v>
      </c>
      <c r="F12" s="36"/>
      <c r="G12" s="35">
        <v>120</v>
      </c>
      <c r="H12" s="35" t="s">
        <v>91</v>
      </c>
      <c r="I12" s="36" t="s">
        <v>137</v>
      </c>
      <c r="J12" s="36" t="s">
        <v>137</v>
      </c>
      <c r="K12" s="69" t="s">
        <v>111</v>
      </c>
      <c r="L12" s="69" t="s">
        <v>112</v>
      </c>
    </row>
    <row r="13" spans="1:12" ht="33.75">
      <c r="A13" s="75"/>
      <c r="B13" s="70"/>
      <c r="C13" s="77"/>
      <c r="D13" s="38" t="s">
        <v>98</v>
      </c>
      <c r="E13" s="36">
        <v>500000</v>
      </c>
      <c r="F13" s="36"/>
      <c r="G13" s="35">
        <v>100</v>
      </c>
      <c r="H13" s="38" t="s">
        <v>93</v>
      </c>
      <c r="I13" s="36" t="s">
        <v>137</v>
      </c>
      <c r="J13" s="36" t="s">
        <v>137</v>
      </c>
      <c r="K13" s="70"/>
      <c r="L13" s="77"/>
    </row>
    <row r="14" spans="1:12" ht="12.75">
      <c r="A14" s="75"/>
      <c r="B14" s="70"/>
      <c r="C14" s="77"/>
      <c r="D14" s="35" t="s">
        <v>99</v>
      </c>
      <c r="E14" s="36">
        <v>1000000</v>
      </c>
      <c r="F14" s="36"/>
      <c r="G14" s="35">
        <v>120</v>
      </c>
      <c r="H14" s="35" t="s">
        <v>93</v>
      </c>
      <c r="I14" s="36" t="s">
        <v>137</v>
      </c>
      <c r="J14" s="36" t="s">
        <v>137</v>
      </c>
      <c r="K14" s="70"/>
      <c r="L14" s="77"/>
    </row>
    <row r="15" spans="1:12" ht="22.5">
      <c r="A15" s="75"/>
      <c r="B15" s="70"/>
      <c r="C15" s="77"/>
      <c r="D15" s="38" t="s">
        <v>100</v>
      </c>
      <c r="E15" s="36">
        <v>50000000</v>
      </c>
      <c r="F15" s="36"/>
      <c r="G15" s="35">
        <v>4</v>
      </c>
      <c r="H15" s="35" t="s">
        <v>101</v>
      </c>
      <c r="I15" s="36" t="s">
        <v>137</v>
      </c>
      <c r="J15" s="36" t="s">
        <v>137</v>
      </c>
      <c r="K15" s="70"/>
      <c r="L15" s="77"/>
    </row>
    <row r="16" spans="1:12" ht="12.75">
      <c r="A16" s="75"/>
      <c r="B16" s="70"/>
      <c r="C16" s="77"/>
      <c r="D16" s="80" t="s">
        <v>114</v>
      </c>
      <c r="E16" s="36"/>
      <c r="F16" s="36"/>
      <c r="G16" s="35"/>
      <c r="H16" s="35"/>
      <c r="I16" s="36"/>
      <c r="J16" s="37"/>
      <c r="K16" s="70"/>
      <c r="L16" s="77"/>
    </row>
    <row r="17" spans="1:12" ht="12.75">
      <c r="A17" s="76"/>
      <c r="B17" s="71"/>
      <c r="C17" s="78"/>
      <c r="D17" s="80"/>
      <c r="E17" s="35"/>
      <c r="F17" s="35"/>
      <c r="G17" s="35"/>
      <c r="H17" s="35"/>
      <c r="I17" s="36"/>
      <c r="J17" s="36"/>
      <c r="K17" s="71"/>
      <c r="L17" s="78"/>
    </row>
    <row r="18" spans="1:12" ht="12.75">
      <c r="A18" s="72">
        <v>3</v>
      </c>
      <c r="B18" s="73" t="s">
        <v>102</v>
      </c>
      <c r="C18" s="69" t="s">
        <v>119</v>
      </c>
      <c r="D18" s="35" t="s">
        <v>104</v>
      </c>
      <c r="E18" s="36">
        <v>2000000</v>
      </c>
      <c r="F18" s="36">
        <v>1500000</v>
      </c>
      <c r="G18" s="35">
        <v>12</v>
      </c>
      <c r="H18" s="35" t="s">
        <v>106</v>
      </c>
      <c r="I18" s="36" t="s">
        <v>137</v>
      </c>
      <c r="J18" s="36" t="s">
        <v>137</v>
      </c>
      <c r="K18" s="69" t="s">
        <v>110</v>
      </c>
      <c r="L18" s="74" t="s">
        <v>103</v>
      </c>
    </row>
    <row r="19" spans="1:12" ht="12.75">
      <c r="A19" s="70"/>
      <c r="B19" s="70"/>
      <c r="C19" s="70"/>
      <c r="D19" s="35" t="s">
        <v>105</v>
      </c>
      <c r="E19" s="36">
        <v>6000000</v>
      </c>
      <c r="F19" s="36"/>
      <c r="G19" s="35">
        <v>1</v>
      </c>
      <c r="H19" s="35" t="s">
        <v>136</v>
      </c>
      <c r="I19" s="36" t="s">
        <v>137</v>
      </c>
      <c r="J19" s="36" t="s">
        <v>137</v>
      </c>
      <c r="K19" s="70"/>
      <c r="L19" s="70"/>
    </row>
    <row r="20" spans="1:12" ht="12.75">
      <c r="A20" s="70"/>
      <c r="B20" s="70"/>
      <c r="C20" s="70"/>
      <c r="D20" s="35" t="s">
        <v>107</v>
      </c>
      <c r="E20" s="36">
        <v>1000000</v>
      </c>
      <c r="F20" s="36">
        <v>750000</v>
      </c>
      <c r="G20" s="35">
        <v>6</v>
      </c>
      <c r="H20" s="35" t="s">
        <v>108</v>
      </c>
      <c r="I20" s="36" t="s">
        <v>137</v>
      </c>
      <c r="J20" s="36" t="s">
        <v>137</v>
      </c>
      <c r="K20" s="70"/>
      <c r="L20" s="70"/>
    </row>
    <row r="21" spans="1:12" ht="12.75">
      <c r="A21" s="70"/>
      <c r="B21" s="70"/>
      <c r="C21" s="70"/>
      <c r="D21" s="80" t="s">
        <v>115</v>
      </c>
      <c r="E21" s="36"/>
      <c r="F21" s="36"/>
      <c r="G21" s="35"/>
      <c r="H21" s="35"/>
      <c r="I21" s="37"/>
      <c r="J21" s="37"/>
      <c r="K21" s="70"/>
      <c r="L21" s="70"/>
    </row>
    <row r="22" spans="1:12" ht="12.75">
      <c r="A22" s="71"/>
      <c r="B22" s="71"/>
      <c r="C22" s="71"/>
      <c r="D22" s="80"/>
      <c r="E22" s="35"/>
      <c r="F22" s="35"/>
      <c r="G22" s="35"/>
      <c r="H22" s="35"/>
      <c r="I22" s="35"/>
      <c r="J22" s="88"/>
      <c r="K22" s="71"/>
      <c r="L22" s="71"/>
    </row>
    <row r="23" spans="1:12" ht="12.75">
      <c r="A23" s="34"/>
      <c r="B23" s="34"/>
      <c r="C23" s="34"/>
      <c r="D23" s="34"/>
      <c r="E23" s="39"/>
      <c r="F23" s="39"/>
      <c r="G23" s="34"/>
      <c r="H23" s="34"/>
      <c r="I23" s="40"/>
      <c r="J23" s="40"/>
      <c r="K23" s="34"/>
      <c r="L23" s="34"/>
    </row>
    <row r="24" spans="1:12" ht="12.75">
      <c r="A24" s="34"/>
      <c r="B24" s="41"/>
      <c r="C24" s="34"/>
      <c r="D24" s="34"/>
      <c r="E24" s="39"/>
      <c r="F24" s="39"/>
      <c r="G24" s="34"/>
      <c r="H24" s="34"/>
      <c r="I24" s="40"/>
      <c r="J24" s="40"/>
      <c r="K24" s="34"/>
      <c r="L24" s="34"/>
    </row>
    <row r="25" spans="1:12" ht="12.75">
      <c r="A25" s="34"/>
      <c r="B25" s="41"/>
      <c r="C25" s="34"/>
      <c r="D25" s="34"/>
      <c r="E25" s="39"/>
      <c r="F25" s="39"/>
      <c r="G25" s="34"/>
      <c r="H25" s="34"/>
      <c r="I25" s="40"/>
      <c r="J25" s="40"/>
      <c r="K25" s="34"/>
      <c r="L25" s="34"/>
    </row>
    <row r="26" spans="1:12" ht="12.75">
      <c r="A26" s="34"/>
      <c r="B26" s="41"/>
      <c r="C26" s="34"/>
      <c r="D26" s="34"/>
      <c r="E26" s="39"/>
      <c r="F26" s="39"/>
      <c r="G26" s="34"/>
      <c r="H26" s="34"/>
      <c r="I26" s="40"/>
      <c r="J26" s="40"/>
      <c r="K26" s="34"/>
      <c r="L26" s="34"/>
    </row>
    <row r="27" spans="1:12" ht="12.75">
      <c r="A27" s="34"/>
      <c r="B27" s="34"/>
      <c r="C27" s="34"/>
      <c r="D27" s="34"/>
      <c r="E27" s="39"/>
      <c r="F27" s="39"/>
      <c r="G27" s="34"/>
      <c r="H27" s="34"/>
      <c r="I27" s="34"/>
      <c r="J27" s="34"/>
      <c r="K27" s="34"/>
      <c r="L27" s="34"/>
    </row>
    <row r="28" spans="1:12" ht="12.75">
      <c r="A28" s="34"/>
      <c r="B28" s="41"/>
      <c r="C28" s="34"/>
      <c r="D28" s="34"/>
      <c r="E28" s="34"/>
      <c r="F28" s="34"/>
      <c r="G28" s="34"/>
      <c r="H28" s="34"/>
      <c r="I28" s="40"/>
      <c r="J28" s="40"/>
      <c r="K28" s="34"/>
      <c r="L28" s="34"/>
    </row>
  </sheetData>
  <sheetProtection/>
  <mergeCells count="27">
    <mergeCell ref="H5:H6"/>
    <mergeCell ref="F5:F6"/>
    <mergeCell ref="J5:J6"/>
    <mergeCell ref="L7:L11"/>
    <mergeCell ref="A5:A6"/>
    <mergeCell ref="I5:I6"/>
    <mergeCell ref="E5:E6"/>
    <mergeCell ref="B5:B6"/>
    <mergeCell ref="K5:K6"/>
    <mergeCell ref="L5:L6"/>
    <mergeCell ref="C5:C6"/>
    <mergeCell ref="D5:D6"/>
    <mergeCell ref="G5:G6"/>
    <mergeCell ref="L18:L22"/>
    <mergeCell ref="C7:C11"/>
    <mergeCell ref="A12:A17"/>
    <mergeCell ref="B12:B17"/>
    <mergeCell ref="K12:K17"/>
    <mergeCell ref="L12:L17"/>
    <mergeCell ref="C12:C17"/>
    <mergeCell ref="A7:A11"/>
    <mergeCell ref="B7:B11"/>
    <mergeCell ref="K7:K11"/>
    <mergeCell ref="C18:C22"/>
    <mergeCell ref="A18:A22"/>
    <mergeCell ref="B18:B22"/>
    <mergeCell ref="K18:K22"/>
  </mergeCells>
  <hyperlinks>
    <hyperlink ref="A1" r:id="rId1" display="www.destinationsolo.com"/>
  </hyperlinks>
  <printOptions/>
  <pageMargins left="0.75" right="0.75" top="1" bottom="1" header="0.5" footer="0.5"/>
  <pageSetup horizontalDpi="600" verticalDpi="60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3">
      <selection activeCell="D18" sqref="D18"/>
    </sheetView>
  </sheetViews>
  <sheetFormatPr defaultColWidth="9.140625" defaultRowHeight="12.75"/>
  <cols>
    <col min="1" max="1" width="22.421875" style="0" customWidth="1"/>
    <col min="2" max="2" width="17.57421875" style="0" customWidth="1"/>
    <col min="3" max="3" width="11.7109375" style="0" bestFit="1" customWidth="1"/>
    <col min="4" max="4" width="11.421875" style="0" customWidth="1"/>
    <col min="5" max="5" width="12.00390625" style="0" customWidth="1"/>
    <col min="6" max="6" width="11.57421875" style="0" customWidth="1"/>
    <col min="7" max="7" width="11.421875" style="0" customWidth="1"/>
    <col min="8" max="8" width="12.140625" style="0" customWidth="1"/>
    <col min="9" max="9" width="11.421875" style="0" customWidth="1"/>
    <col min="10" max="10" width="12.8515625" style="0" customWidth="1"/>
    <col min="11" max="11" width="11.7109375" style="0" customWidth="1"/>
    <col min="12" max="12" width="11.8515625" style="0" customWidth="1"/>
    <col min="13" max="13" width="12.140625" style="0" customWidth="1"/>
    <col min="14" max="14" width="11.140625" style="0" bestFit="1" customWidth="1"/>
  </cols>
  <sheetData>
    <row r="1" ht="12.75">
      <c r="A1" s="89" t="s">
        <v>140</v>
      </c>
    </row>
    <row r="3" spans="1:15" ht="12.75">
      <c r="A3" s="5"/>
      <c r="B3" s="10"/>
      <c r="C3" s="44" t="s">
        <v>120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90"/>
    </row>
    <row r="4" spans="1:15" ht="12.75">
      <c r="A4" s="5"/>
      <c r="B4" s="10" t="s">
        <v>86</v>
      </c>
      <c r="C4" s="10">
        <v>1</v>
      </c>
      <c r="D4" s="10">
        <v>2</v>
      </c>
      <c r="E4" s="10">
        <v>3</v>
      </c>
      <c r="F4" s="10">
        <v>4</v>
      </c>
      <c r="G4" s="10">
        <v>5</v>
      </c>
      <c r="H4" s="10">
        <v>6</v>
      </c>
      <c r="I4" s="10">
        <v>7</v>
      </c>
      <c r="J4" s="10">
        <v>8</v>
      </c>
      <c r="K4" s="10">
        <v>9</v>
      </c>
      <c r="L4" s="10">
        <v>10</v>
      </c>
      <c r="M4" s="10">
        <v>11</v>
      </c>
      <c r="N4" s="10">
        <v>12</v>
      </c>
      <c r="O4" s="90"/>
    </row>
    <row r="5" spans="1:14" ht="25.5">
      <c r="A5" s="91" t="s">
        <v>74</v>
      </c>
      <c r="B5" s="92" t="s">
        <v>121</v>
      </c>
      <c r="C5" s="4"/>
      <c r="D5" s="4">
        <f>RAB!E25</f>
        <v>5000000</v>
      </c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45"/>
      <c r="B6" s="93" t="s">
        <v>122</v>
      </c>
      <c r="C6" s="4"/>
      <c r="D6" s="4">
        <v>1000000</v>
      </c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45"/>
      <c r="B7" s="93" t="s">
        <v>123</v>
      </c>
      <c r="C7" s="4"/>
      <c r="D7" s="4"/>
      <c r="E7" s="4">
        <f>2*'Bisnis Plan'!J7</f>
        <v>1210000</v>
      </c>
      <c r="F7" s="4">
        <f>2*'Bisnis Plan'!J7</f>
        <v>1210000</v>
      </c>
      <c r="G7" s="4">
        <f>2*'Bisnis Plan'!J7</f>
        <v>1210000</v>
      </c>
      <c r="H7" s="4">
        <f>2*'Bisnis Plan'!J7</f>
        <v>1210000</v>
      </c>
      <c r="I7" s="4">
        <f>2*'Bisnis Plan'!J7</f>
        <v>1210000</v>
      </c>
      <c r="J7" s="4">
        <f>2*'Bisnis Plan'!J7</f>
        <v>1210000</v>
      </c>
      <c r="K7" s="4">
        <f>2*'Bisnis Plan'!J7</f>
        <v>1210000</v>
      </c>
      <c r="L7" s="4">
        <f>2*'Bisnis Plan'!J7</f>
        <v>1210000</v>
      </c>
      <c r="M7" s="4">
        <f>2*'Bisnis Plan'!J7</f>
        <v>1210000</v>
      </c>
      <c r="N7" s="4">
        <f>2*'Bisnis Plan'!J7</f>
        <v>1210000</v>
      </c>
    </row>
    <row r="8" spans="1:14" ht="12.75">
      <c r="A8" s="45"/>
      <c r="B8" s="96" t="s">
        <v>94</v>
      </c>
      <c r="C8" s="4"/>
      <c r="D8" s="4"/>
      <c r="E8" s="4">
        <f>2*'Bisnis Plan'!I7</f>
        <v>2200000</v>
      </c>
      <c r="F8" s="4">
        <f>2*'Bisnis Plan'!I7</f>
        <v>2200000</v>
      </c>
      <c r="G8" s="4">
        <f>2*'Bisnis Plan'!I7</f>
        <v>2200000</v>
      </c>
      <c r="H8" s="4">
        <f>2*'Bisnis Plan'!I7</f>
        <v>2200000</v>
      </c>
      <c r="I8" s="4">
        <f>3*'Bisnis Plan'!I7</f>
        <v>3300000</v>
      </c>
      <c r="J8" s="4">
        <f>3*'Bisnis Plan'!I7</f>
        <v>3300000</v>
      </c>
      <c r="K8" s="4">
        <f>3*'Bisnis Plan'!I7</f>
        <v>3300000</v>
      </c>
      <c r="L8" s="4">
        <f>3*'Bisnis Plan'!I7</f>
        <v>3300000</v>
      </c>
      <c r="M8" s="4">
        <f>3*'Bisnis Plan'!I7</f>
        <v>3300000</v>
      </c>
      <c r="N8" s="4">
        <f>3*'Bisnis Plan'!I7</f>
        <v>3300000</v>
      </c>
    </row>
    <row r="9" spans="1:14" ht="12.75">
      <c r="A9" s="29"/>
      <c r="B9" s="96" t="s">
        <v>95</v>
      </c>
      <c r="C9" s="4"/>
      <c r="D9" s="4"/>
      <c r="E9" s="4">
        <f>2*'Bisnis Plan'!I8</f>
        <v>5000000</v>
      </c>
      <c r="F9" s="4">
        <v>0</v>
      </c>
      <c r="G9" s="4">
        <v>0</v>
      </c>
      <c r="H9" s="4">
        <v>0</v>
      </c>
      <c r="I9" s="4">
        <f>3*'Bisnis Plan'!I8</f>
        <v>7500000</v>
      </c>
      <c r="J9" s="4">
        <v>0</v>
      </c>
      <c r="K9" s="4">
        <v>0</v>
      </c>
      <c r="L9" s="4">
        <v>0</v>
      </c>
      <c r="M9" s="4">
        <v>0</v>
      </c>
      <c r="N9" s="4">
        <v>0</v>
      </c>
    </row>
    <row r="10" spans="1:14" ht="12.75">
      <c r="A10" s="29"/>
      <c r="B10" s="96" t="s">
        <v>96</v>
      </c>
      <c r="C10" s="4"/>
      <c r="D10" s="4"/>
      <c r="E10" s="4">
        <f>2*'Bisnis Plan'!I9</f>
        <v>1000000</v>
      </c>
      <c r="F10" s="4">
        <v>0</v>
      </c>
      <c r="G10" s="4">
        <v>0</v>
      </c>
      <c r="H10" s="4">
        <v>0</v>
      </c>
      <c r="I10" s="4">
        <f>3*'Bisnis Plan'!I9</f>
        <v>1500000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</row>
    <row r="11" spans="1:14" ht="12.75">
      <c r="A11" s="29"/>
      <c r="D11" s="12">
        <f>SUM(D5:D7)</f>
        <v>6000000</v>
      </c>
      <c r="E11" s="12">
        <f aca="true" t="shared" si="0" ref="E11:N11">E8+E9+E10-E7</f>
        <v>6990000</v>
      </c>
      <c r="F11" s="12">
        <f t="shared" si="0"/>
        <v>990000</v>
      </c>
      <c r="G11" s="12">
        <f t="shared" si="0"/>
        <v>990000</v>
      </c>
      <c r="H11" s="12">
        <f t="shared" si="0"/>
        <v>990000</v>
      </c>
      <c r="I11" s="12">
        <f t="shared" si="0"/>
        <v>11090000</v>
      </c>
      <c r="J11" s="12">
        <f t="shared" si="0"/>
        <v>2090000</v>
      </c>
      <c r="K11" s="12">
        <f t="shared" si="0"/>
        <v>2090000</v>
      </c>
      <c r="L11" s="12">
        <f t="shared" si="0"/>
        <v>2090000</v>
      </c>
      <c r="M11" s="12">
        <f t="shared" si="0"/>
        <v>2090000</v>
      </c>
      <c r="N11" s="12">
        <f t="shared" si="0"/>
        <v>2090000</v>
      </c>
    </row>
    <row r="12" spans="1:14" ht="12.75">
      <c r="A12" s="5"/>
      <c r="B12" s="8" t="s">
        <v>138</v>
      </c>
      <c r="C12" s="9">
        <v>0</v>
      </c>
      <c r="D12" s="9">
        <f>0-D11</f>
        <v>-6000000</v>
      </c>
      <c r="E12" s="9">
        <f>E11-D11</f>
        <v>990000</v>
      </c>
      <c r="F12" s="9">
        <f aca="true" t="shared" si="1" ref="F12:N12">F11+E12</f>
        <v>1980000</v>
      </c>
      <c r="G12" s="9">
        <f t="shared" si="1"/>
        <v>2970000</v>
      </c>
      <c r="H12" s="9">
        <f t="shared" si="1"/>
        <v>3960000</v>
      </c>
      <c r="I12" s="9">
        <f t="shared" si="1"/>
        <v>15050000</v>
      </c>
      <c r="J12" s="9">
        <f t="shared" si="1"/>
        <v>17140000</v>
      </c>
      <c r="K12" s="9">
        <f t="shared" si="1"/>
        <v>19230000</v>
      </c>
      <c r="L12" s="9">
        <f t="shared" si="1"/>
        <v>21320000</v>
      </c>
      <c r="M12" s="9">
        <f t="shared" si="1"/>
        <v>23410000</v>
      </c>
      <c r="N12" s="9">
        <f t="shared" si="1"/>
        <v>25500000</v>
      </c>
    </row>
    <row r="13" spans="1:3" ht="12.75">
      <c r="A13" s="5"/>
      <c r="B13" s="95"/>
      <c r="C13" s="4"/>
    </row>
    <row r="14" spans="1:14" ht="12.75">
      <c r="A14" s="5"/>
      <c r="B14" s="94"/>
      <c r="C14" s="4"/>
      <c r="D14" s="4"/>
      <c r="E14" s="12"/>
      <c r="F14" s="4"/>
      <c r="G14" s="4"/>
      <c r="H14" s="4"/>
      <c r="I14" s="4"/>
      <c r="J14" s="4"/>
      <c r="K14" s="4"/>
      <c r="L14" s="4"/>
      <c r="M14" s="4"/>
      <c r="N14" s="4"/>
    </row>
    <row r="15" spans="1:14" ht="51">
      <c r="A15" s="98" t="s">
        <v>92</v>
      </c>
      <c r="B15" s="93" t="s">
        <v>126</v>
      </c>
      <c r="C15" s="4">
        <f>RAB!F10+RAB!F21+RAB!I10+RAB!I21+RAB!L10+RAB!L21+RAB!F44+RAB!I44+RAB!L44</f>
        <v>203250000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2.75">
      <c r="A16" s="5"/>
      <c r="B16" s="93" t="s">
        <v>125</v>
      </c>
      <c r="C16" s="4"/>
      <c r="D16" s="4">
        <f>RAB!L34+RAB!L54</f>
        <v>39500000</v>
      </c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2.75">
      <c r="A17" s="5"/>
      <c r="B17" s="93" t="s">
        <v>127</v>
      </c>
      <c r="C17" s="4"/>
      <c r="D17" s="4"/>
      <c r="E17" s="4">
        <f>RAB!F63+RAB!I63+RAB!L63</f>
        <v>137250000</v>
      </c>
      <c r="F17" s="4"/>
      <c r="G17" s="4"/>
      <c r="H17" s="4"/>
      <c r="I17" s="4"/>
      <c r="J17" s="4"/>
      <c r="K17" s="4"/>
      <c r="L17" s="4"/>
      <c r="M17" s="4"/>
      <c r="N17" s="4"/>
    </row>
    <row r="18" spans="1:14" ht="12.75">
      <c r="A18" s="5"/>
      <c r="B18" s="96" t="s">
        <v>128</v>
      </c>
      <c r="C18" s="4">
        <f>10*'Bisnis Plan'!E12</f>
        <v>240000</v>
      </c>
      <c r="D18" s="4">
        <f>20*'Bisnis Plan'!E12</f>
        <v>480000</v>
      </c>
      <c r="E18" s="4">
        <f>30*'Bisnis Plan'!E12</f>
        <v>720000</v>
      </c>
      <c r="F18" s="4">
        <f>40*'Bisnis Plan'!E12</f>
        <v>960000</v>
      </c>
      <c r="G18" s="4">
        <f>50*'Bisnis Plan'!E12</f>
        <v>1200000</v>
      </c>
      <c r="H18" s="4">
        <f>60*'Bisnis Plan'!E12</f>
        <v>1440000</v>
      </c>
      <c r="I18" s="4">
        <f>70*'Bisnis Plan'!E12</f>
        <v>1680000</v>
      </c>
      <c r="J18" s="4">
        <f>80*'Bisnis Plan'!E12</f>
        <v>1920000</v>
      </c>
      <c r="K18" s="4">
        <f>90*'Bisnis Plan'!E12</f>
        <v>2160000</v>
      </c>
      <c r="L18" s="4">
        <f>100*'Bisnis Plan'!E12</f>
        <v>2400000</v>
      </c>
      <c r="M18" s="4">
        <f>110*'Bisnis Plan'!E12</f>
        <v>2640000</v>
      </c>
      <c r="N18" s="4">
        <f>120*'Bisnis Plan'!E12</f>
        <v>2880000</v>
      </c>
    </row>
    <row r="19" spans="1:14" ht="33.75">
      <c r="A19" s="5"/>
      <c r="B19" s="97" t="s">
        <v>129</v>
      </c>
      <c r="C19" s="4">
        <f>10*'Bisnis Plan'!E13</f>
        <v>5000000</v>
      </c>
      <c r="D19" s="4">
        <f>10*'Bisnis Plan'!E13</f>
        <v>5000000</v>
      </c>
      <c r="E19" s="4">
        <f>10*'Bisnis Plan'!E13</f>
        <v>5000000</v>
      </c>
      <c r="F19" s="4">
        <f>10*'Bisnis Plan'!E13</f>
        <v>5000000</v>
      </c>
      <c r="G19" s="4">
        <f>10*'Bisnis Plan'!E13</f>
        <v>5000000</v>
      </c>
      <c r="H19" s="4">
        <f>10*'Bisnis Plan'!E13</f>
        <v>5000000</v>
      </c>
      <c r="I19" s="4">
        <f>10*'Bisnis Plan'!E13</f>
        <v>5000000</v>
      </c>
      <c r="J19" s="4">
        <f>10*'Bisnis Plan'!E13</f>
        <v>5000000</v>
      </c>
      <c r="K19" s="4">
        <f>10*'Bisnis Plan'!E13</f>
        <v>5000000</v>
      </c>
      <c r="L19" s="4">
        <f>10*'Bisnis Plan'!E13</f>
        <v>5000000</v>
      </c>
      <c r="M19" s="4">
        <f>10*'Bisnis Plan'!E13</f>
        <v>5000000</v>
      </c>
      <c r="N19" s="4">
        <f>10*'Bisnis Plan'!E13</f>
        <v>5000000</v>
      </c>
    </row>
    <row r="20" spans="1:14" ht="12.75">
      <c r="A20" s="5"/>
      <c r="B20" s="96" t="s">
        <v>130</v>
      </c>
      <c r="C20" s="4">
        <f>10*'Bisnis Plan'!E14</f>
        <v>10000000</v>
      </c>
      <c r="D20" s="4">
        <f>10*'Bisnis Plan'!E14</f>
        <v>10000000</v>
      </c>
      <c r="E20" s="4">
        <f>10*'Bisnis Plan'!E14</f>
        <v>10000000</v>
      </c>
      <c r="F20" s="4">
        <f>20*'Bisnis Plan'!E14</f>
        <v>20000000</v>
      </c>
      <c r="G20" s="4">
        <f>20*'Bisnis Plan'!E14</f>
        <v>20000000</v>
      </c>
      <c r="H20" s="4">
        <f>20*'Bisnis Plan'!E14</f>
        <v>20000000</v>
      </c>
      <c r="I20" s="4">
        <f>20*'Bisnis Plan'!E14</f>
        <v>20000000</v>
      </c>
      <c r="J20" s="4">
        <f>30*'Bisnis Plan'!E14</f>
        <v>30000000</v>
      </c>
      <c r="K20" s="4">
        <f>10*'Bisnis Plan'!E14</f>
        <v>10000000</v>
      </c>
      <c r="L20" s="4">
        <f>10*'Bisnis Plan'!E14</f>
        <v>10000000</v>
      </c>
      <c r="M20" s="4">
        <f>10*'Bisnis Plan'!E14</f>
        <v>10000000</v>
      </c>
      <c r="N20" s="4">
        <f>30*'Bisnis Plan'!E14</f>
        <v>30000000</v>
      </c>
    </row>
    <row r="21" spans="1:14" ht="22.5">
      <c r="A21" s="5"/>
      <c r="B21" s="97" t="s">
        <v>131</v>
      </c>
      <c r="C21" s="4"/>
      <c r="D21" s="4">
        <f>'Bisnis Plan'!E15</f>
        <v>50000000</v>
      </c>
      <c r="E21" s="4"/>
      <c r="F21" s="4"/>
      <c r="G21" s="4">
        <f>'Bisnis Plan'!E15</f>
        <v>50000000</v>
      </c>
      <c r="I21" s="4"/>
      <c r="J21" s="4">
        <v>50000000</v>
      </c>
      <c r="K21" s="4"/>
      <c r="L21" s="4"/>
      <c r="M21" s="4">
        <f>'Bisnis Plan'!E15</f>
        <v>50000000</v>
      </c>
      <c r="N21" s="4"/>
    </row>
    <row r="22" spans="1:14" ht="12.75">
      <c r="A22" s="5"/>
      <c r="B22" s="5"/>
      <c r="C22" s="4">
        <f>C18+C19+C20-C15</f>
        <v>-188010000</v>
      </c>
      <c r="D22" s="4">
        <f>D18+D19+D20-D16</f>
        <v>-24020000</v>
      </c>
      <c r="E22" s="4">
        <f>E18+E19+E20-E17</f>
        <v>-121530000</v>
      </c>
      <c r="F22" s="4">
        <f aca="true" t="shared" si="2" ref="F22:N22">SUM(F18:F21)</f>
        <v>25960000</v>
      </c>
      <c r="G22" s="4">
        <f t="shared" si="2"/>
        <v>76200000</v>
      </c>
      <c r="H22" s="4">
        <f t="shared" si="2"/>
        <v>26440000</v>
      </c>
      <c r="I22" s="4">
        <f t="shared" si="2"/>
        <v>26680000</v>
      </c>
      <c r="J22" s="4">
        <f t="shared" si="2"/>
        <v>86920000</v>
      </c>
      <c r="K22" s="4">
        <f t="shared" si="2"/>
        <v>17160000</v>
      </c>
      <c r="L22" s="4">
        <f t="shared" si="2"/>
        <v>17400000</v>
      </c>
      <c r="M22" s="4">
        <f t="shared" si="2"/>
        <v>67640000</v>
      </c>
      <c r="N22" s="4">
        <f t="shared" si="2"/>
        <v>37880000</v>
      </c>
    </row>
    <row r="23" spans="1:14" ht="12.75">
      <c r="A23" s="5"/>
      <c r="B23" s="8" t="s">
        <v>138</v>
      </c>
      <c r="C23" s="9">
        <f>0+C22</f>
        <v>-188010000</v>
      </c>
      <c r="D23" s="9">
        <f aca="true" t="shared" si="3" ref="D23:N23">C23+D22</f>
        <v>-212030000</v>
      </c>
      <c r="E23" s="9">
        <f t="shared" si="3"/>
        <v>-333560000</v>
      </c>
      <c r="F23" s="9">
        <f t="shared" si="3"/>
        <v>-307600000</v>
      </c>
      <c r="G23" s="9">
        <f t="shared" si="3"/>
        <v>-231400000</v>
      </c>
      <c r="H23" s="9">
        <f t="shared" si="3"/>
        <v>-204960000</v>
      </c>
      <c r="I23" s="9">
        <f t="shared" si="3"/>
        <v>-178280000</v>
      </c>
      <c r="J23" s="9">
        <f t="shared" si="3"/>
        <v>-91360000</v>
      </c>
      <c r="K23" s="9">
        <f t="shared" si="3"/>
        <v>-74200000</v>
      </c>
      <c r="L23" s="9">
        <f t="shared" si="3"/>
        <v>-56800000</v>
      </c>
      <c r="M23" s="9">
        <f t="shared" si="3"/>
        <v>10840000</v>
      </c>
      <c r="N23" s="9">
        <f t="shared" si="3"/>
        <v>48720000</v>
      </c>
    </row>
    <row r="24" spans="1:14" ht="12.75">
      <c r="A24" s="5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2" t="s">
        <v>132</v>
      </c>
      <c r="B25" s="93" t="s">
        <v>123</v>
      </c>
      <c r="C25" s="4">
        <f>'Bisnis Plan'!F18+6*'Bisnis Plan'!F20</f>
        <v>6000000</v>
      </c>
      <c r="D25" s="4">
        <f>'Bisnis Plan'!F18+6*'Bisnis Plan'!F20</f>
        <v>6000000</v>
      </c>
      <c r="E25" s="4">
        <f>'Bisnis Plan'!F18+6*'Bisnis Plan'!F20</f>
        <v>6000000</v>
      </c>
      <c r="F25" s="4">
        <f>'Bisnis Plan'!F18+6*'Bisnis Plan'!F20</f>
        <v>6000000</v>
      </c>
      <c r="G25" s="4">
        <f>'Bisnis Plan'!F18+6*'Bisnis Plan'!F20</f>
        <v>6000000</v>
      </c>
      <c r="H25" s="4">
        <f>'Bisnis Plan'!F18+6*'Bisnis Plan'!F20</f>
        <v>6000000</v>
      </c>
      <c r="I25" s="4">
        <f>'Bisnis Plan'!F18+6*'Bisnis Plan'!F20</f>
        <v>6000000</v>
      </c>
      <c r="J25" s="4">
        <f>'Bisnis Plan'!F18+6*'Bisnis Plan'!F20</f>
        <v>6000000</v>
      </c>
      <c r="K25" s="4">
        <f>'Bisnis Plan'!F18+6*'Bisnis Plan'!F20</f>
        <v>6000000</v>
      </c>
      <c r="L25" s="4">
        <f>'Bisnis Plan'!F18+6*'Bisnis Plan'!F20</f>
        <v>6000000</v>
      </c>
      <c r="M25" s="4">
        <f>'Bisnis Plan'!F18+6*'Bisnis Plan'!F20</f>
        <v>6000000</v>
      </c>
      <c r="N25" s="4">
        <f>'Bisnis Plan'!F18+6*'Bisnis Plan'!F20</f>
        <v>6000000</v>
      </c>
    </row>
    <row r="26" spans="2:14" ht="12.75">
      <c r="B26" s="26" t="s">
        <v>133</v>
      </c>
      <c r="C26" s="4">
        <f>'Bisnis Plan'!E18</f>
        <v>2000000</v>
      </c>
      <c r="D26" s="4">
        <f>'Bisnis Plan'!E18</f>
        <v>2000000</v>
      </c>
      <c r="E26" s="4">
        <f>'Bisnis Plan'!E18</f>
        <v>2000000</v>
      </c>
      <c r="F26" s="4">
        <f>'Bisnis Plan'!E18</f>
        <v>2000000</v>
      </c>
      <c r="G26" s="4">
        <f>'Bisnis Plan'!E18</f>
        <v>2000000</v>
      </c>
      <c r="H26" s="4">
        <f>'Bisnis Plan'!E18</f>
        <v>2000000</v>
      </c>
      <c r="I26" s="4">
        <f>'Bisnis Plan'!E18</f>
        <v>2000000</v>
      </c>
      <c r="J26" s="4">
        <f>'Bisnis Plan'!E18</f>
        <v>2000000</v>
      </c>
      <c r="K26" s="4">
        <f>'Bisnis Plan'!E18</f>
        <v>2000000</v>
      </c>
      <c r="L26" s="4">
        <f>'Bisnis Plan'!E18</f>
        <v>2000000</v>
      </c>
      <c r="M26" s="4">
        <f>'Bisnis Plan'!E18</f>
        <v>2000000</v>
      </c>
      <c r="N26" s="4">
        <f>'Bisnis Plan'!E18</f>
        <v>2000000</v>
      </c>
    </row>
    <row r="27" spans="1:14" ht="12.75">
      <c r="A27" s="5"/>
      <c r="B27" s="26" t="s">
        <v>134</v>
      </c>
      <c r="C27" s="4">
        <v>1500000</v>
      </c>
      <c r="D27" s="4">
        <v>1500000</v>
      </c>
      <c r="E27" s="4">
        <v>1500000</v>
      </c>
      <c r="F27" s="4">
        <v>1500000</v>
      </c>
      <c r="G27" s="4">
        <v>1500000</v>
      </c>
      <c r="H27" s="4">
        <v>1500000</v>
      </c>
      <c r="I27" s="4">
        <v>1500000</v>
      </c>
      <c r="J27" s="4">
        <v>1500000</v>
      </c>
      <c r="K27" s="4">
        <v>1500000</v>
      </c>
      <c r="L27" s="4">
        <v>1500000</v>
      </c>
      <c r="M27" s="4">
        <v>1500000</v>
      </c>
      <c r="N27" s="4">
        <v>1500000</v>
      </c>
    </row>
    <row r="28" spans="1:14" ht="12.75">
      <c r="A28" s="5"/>
      <c r="B28" s="26" t="s">
        <v>135</v>
      </c>
      <c r="C28" s="4">
        <f>'Bisnis Plan'!E20*6</f>
        <v>6000000</v>
      </c>
      <c r="D28" s="4">
        <f>'Bisnis Plan'!E20*6</f>
        <v>6000000</v>
      </c>
      <c r="E28" s="4">
        <f>'Bisnis Plan'!E20*6</f>
        <v>6000000</v>
      </c>
      <c r="F28" s="4">
        <f>'Bisnis Plan'!E20*6</f>
        <v>6000000</v>
      </c>
      <c r="G28" s="4">
        <f>'Bisnis Plan'!E20*6</f>
        <v>6000000</v>
      </c>
      <c r="H28" s="4">
        <f>'Bisnis Plan'!E20*6</f>
        <v>6000000</v>
      </c>
      <c r="I28" s="4">
        <f>'Bisnis Plan'!E20*6</f>
        <v>6000000</v>
      </c>
      <c r="J28" s="4">
        <f>'Bisnis Plan'!E20*6</f>
        <v>6000000</v>
      </c>
      <c r="K28" s="4">
        <f>'Bisnis Plan'!E20*6</f>
        <v>6000000</v>
      </c>
      <c r="L28" s="4">
        <f>'Bisnis Plan'!E20*6</f>
        <v>6000000</v>
      </c>
      <c r="M28" s="4">
        <f>'Bisnis Plan'!E20*6</f>
        <v>6000000</v>
      </c>
      <c r="N28" s="4">
        <f>'Bisnis Plan'!E20*6</f>
        <v>6000000</v>
      </c>
    </row>
    <row r="29" spans="1:14" ht="12.75">
      <c r="A29" s="5"/>
      <c r="B29" s="5"/>
      <c r="C29" s="4">
        <f aca="true" t="shared" si="4" ref="C29:N29">C26+C27+C28-C25</f>
        <v>3500000</v>
      </c>
      <c r="D29" s="4">
        <f t="shared" si="4"/>
        <v>3500000</v>
      </c>
      <c r="E29" s="4">
        <f t="shared" si="4"/>
        <v>3500000</v>
      </c>
      <c r="F29" s="4">
        <f t="shared" si="4"/>
        <v>3500000</v>
      </c>
      <c r="G29" s="4">
        <f t="shared" si="4"/>
        <v>3500000</v>
      </c>
      <c r="H29" s="4">
        <f t="shared" si="4"/>
        <v>3500000</v>
      </c>
      <c r="I29" s="4">
        <f t="shared" si="4"/>
        <v>3500000</v>
      </c>
      <c r="J29" s="4">
        <f t="shared" si="4"/>
        <v>3500000</v>
      </c>
      <c r="K29" s="4">
        <f t="shared" si="4"/>
        <v>3500000</v>
      </c>
      <c r="L29" s="4">
        <f t="shared" si="4"/>
        <v>3500000</v>
      </c>
      <c r="M29" s="4">
        <f t="shared" si="4"/>
        <v>3500000</v>
      </c>
      <c r="N29" s="4">
        <f t="shared" si="4"/>
        <v>3500000</v>
      </c>
    </row>
    <row r="30" spans="1:14" ht="12.75">
      <c r="A30" s="5"/>
      <c r="B30" s="8" t="s">
        <v>138</v>
      </c>
      <c r="C30" s="9">
        <f>C29</f>
        <v>3500000</v>
      </c>
      <c r="D30" s="9">
        <f aca="true" t="shared" si="5" ref="D30:N30">C30+D29</f>
        <v>7000000</v>
      </c>
      <c r="E30" s="9">
        <f t="shared" si="5"/>
        <v>10500000</v>
      </c>
      <c r="F30" s="9">
        <f t="shared" si="5"/>
        <v>14000000</v>
      </c>
      <c r="G30" s="9">
        <f t="shared" si="5"/>
        <v>17500000</v>
      </c>
      <c r="H30" s="9">
        <f t="shared" si="5"/>
        <v>21000000</v>
      </c>
      <c r="I30" s="9">
        <f t="shared" si="5"/>
        <v>24500000</v>
      </c>
      <c r="J30" s="9">
        <f t="shared" si="5"/>
        <v>28000000</v>
      </c>
      <c r="K30" s="9">
        <f t="shared" si="5"/>
        <v>31500000</v>
      </c>
      <c r="L30" s="9">
        <f t="shared" si="5"/>
        <v>35000000</v>
      </c>
      <c r="M30" s="9">
        <f t="shared" si="5"/>
        <v>38500000</v>
      </c>
      <c r="N30" s="9">
        <f t="shared" si="5"/>
        <v>42000000</v>
      </c>
    </row>
    <row r="32" spans="1:14" ht="12.75">
      <c r="A32" s="99" t="s">
        <v>139</v>
      </c>
      <c r="B32" s="99" t="s">
        <v>138</v>
      </c>
      <c r="C32" s="100">
        <f aca="true" t="shared" si="6" ref="C32:N32">C12+C23+C30</f>
        <v>-184510000</v>
      </c>
      <c r="D32" s="100">
        <f t="shared" si="6"/>
        <v>-211030000</v>
      </c>
      <c r="E32" s="100">
        <f t="shared" si="6"/>
        <v>-322070000</v>
      </c>
      <c r="F32" s="100">
        <f t="shared" si="6"/>
        <v>-291620000</v>
      </c>
      <c r="G32" s="100">
        <f t="shared" si="6"/>
        <v>-210930000</v>
      </c>
      <c r="H32" s="100">
        <f t="shared" si="6"/>
        <v>-180000000</v>
      </c>
      <c r="I32" s="100">
        <f t="shared" si="6"/>
        <v>-138730000</v>
      </c>
      <c r="J32" s="100">
        <f t="shared" si="6"/>
        <v>-46220000</v>
      </c>
      <c r="K32" s="100">
        <f t="shared" si="6"/>
        <v>-23470000</v>
      </c>
      <c r="L32" s="100">
        <f t="shared" si="6"/>
        <v>-480000</v>
      </c>
      <c r="M32" s="100">
        <f t="shared" si="6"/>
        <v>72750000</v>
      </c>
      <c r="N32" s="100">
        <f t="shared" si="6"/>
        <v>116220000</v>
      </c>
    </row>
  </sheetData>
  <mergeCells count="2">
    <mergeCell ref="C3:N3"/>
    <mergeCell ref="A5:A8"/>
  </mergeCells>
  <hyperlinks>
    <hyperlink ref="A15" r:id="rId1" display="www.destinationsolo.com"/>
  </hyperlinks>
  <printOptions/>
  <pageMargins left="0.75" right="0.75" top="1" bottom="1" header="0.5" footer="0.5"/>
  <pageSetup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B20">
      <selection activeCell="G36" sqref="G36"/>
    </sheetView>
  </sheetViews>
  <sheetFormatPr defaultColWidth="9.140625" defaultRowHeight="12.75"/>
  <cols>
    <col min="1" max="1" width="22.421875" style="0" customWidth="1"/>
    <col min="2" max="2" width="17.57421875" style="0" customWidth="1"/>
    <col min="3" max="3" width="11.7109375" style="0" bestFit="1" customWidth="1"/>
    <col min="4" max="4" width="11.421875" style="0" customWidth="1"/>
    <col min="5" max="5" width="12.00390625" style="0" customWidth="1"/>
    <col min="6" max="6" width="11.57421875" style="0" customWidth="1"/>
    <col min="7" max="7" width="11.421875" style="0" customWidth="1"/>
    <col min="8" max="8" width="12.140625" style="0" customWidth="1"/>
    <col min="9" max="9" width="11.421875" style="0" customWidth="1"/>
    <col min="10" max="10" width="12.8515625" style="0" customWidth="1"/>
    <col min="11" max="11" width="11.7109375" style="0" customWidth="1"/>
    <col min="12" max="12" width="11.8515625" style="0" customWidth="1"/>
    <col min="13" max="13" width="12.140625" style="0" customWidth="1"/>
    <col min="14" max="14" width="11.140625" style="0" bestFit="1" customWidth="1"/>
  </cols>
  <sheetData>
    <row r="1" ht="12.75">
      <c r="A1" s="89" t="s">
        <v>140</v>
      </c>
    </row>
    <row r="3" spans="1:15" ht="12.75">
      <c r="A3" s="5"/>
      <c r="B3" s="10"/>
      <c r="C3" s="44" t="s">
        <v>120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90"/>
    </row>
    <row r="4" spans="1:15" ht="12.75">
      <c r="A4" s="5"/>
      <c r="B4" s="10" t="s">
        <v>86</v>
      </c>
      <c r="C4" s="10">
        <v>1</v>
      </c>
      <c r="D4" s="10">
        <v>2</v>
      </c>
      <c r="E4" s="10">
        <v>3</v>
      </c>
      <c r="F4" s="10">
        <v>4</v>
      </c>
      <c r="G4" s="10">
        <v>5</v>
      </c>
      <c r="H4" s="10">
        <v>6</v>
      </c>
      <c r="I4" s="10">
        <v>7</v>
      </c>
      <c r="J4" s="10">
        <v>8</v>
      </c>
      <c r="K4" s="10">
        <v>9</v>
      </c>
      <c r="L4" s="10">
        <v>10</v>
      </c>
      <c r="M4" s="10">
        <v>11</v>
      </c>
      <c r="N4" s="10">
        <v>12</v>
      </c>
      <c r="O4" s="90"/>
    </row>
    <row r="5" spans="1:14" ht="25.5">
      <c r="A5" s="91" t="s">
        <v>74</v>
      </c>
      <c r="B5" s="92" t="s">
        <v>121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45"/>
      <c r="B6" s="93" t="s">
        <v>122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45"/>
      <c r="B7" s="93" t="s">
        <v>123</v>
      </c>
      <c r="C7" s="4">
        <f>5*'Bisnis Plan'!J7</f>
        <v>3025000</v>
      </c>
      <c r="D7" s="4">
        <f>5*'Bisnis Plan'!J7</f>
        <v>3025000</v>
      </c>
      <c r="E7" s="4">
        <f>5*'Bisnis Plan'!J7</f>
        <v>3025000</v>
      </c>
      <c r="F7" s="4">
        <f>5*'Bisnis Plan'!J7</f>
        <v>3025000</v>
      </c>
      <c r="G7" s="4">
        <f>5*'Bisnis Plan'!J7</f>
        <v>3025000</v>
      </c>
      <c r="H7" s="4">
        <f>5*'Bisnis Plan'!J7</f>
        <v>3025000</v>
      </c>
      <c r="I7" s="4">
        <f>5*'Bisnis Plan'!J7</f>
        <v>3025000</v>
      </c>
      <c r="J7" s="4">
        <f>5*'Bisnis Plan'!J7</f>
        <v>3025000</v>
      </c>
      <c r="K7" s="4">
        <f>5*'Bisnis Plan'!J7</f>
        <v>3025000</v>
      </c>
      <c r="L7" s="4">
        <f>5*'Bisnis Plan'!J7</f>
        <v>3025000</v>
      </c>
      <c r="M7" s="4">
        <f>5*'Bisnis Plan'!J7</f>
        <v>3025000</v>
      </c>
      <c r="N7" s="4">
        <f>5*'Bisnis Plan'!J7</f>
        <v>3025000</v>
      </c>
    </row>
    <row r="8" spans="1:14" ht="12.75">
      <c r="A8" s="45"/>
      <c r="B8" s="96" t="s">
        <v>94</v>
      </c>
      <c r="C8" s="4">
        <f>5*'Bisnis Plan'!I7</f>
        <v>5500000</v>
      </c>
      <c r="D8" s="4">
        <f>5*'Bisnis Plan'!I7</f>
        <v>5500000</v>
      </c>
      <c r="E8" s="4">
        <f>5*'Bisnis Plan'!I7</f>
        <v>5500000</v>
      </c>
      <c r="F8" s="4">
        <f>5*'Bisnis Plan'!I7</f>
        <v>5500000</v>
      </c>
      <c r="G8" s="4">
        <f>5*'Bisnis Plan'!I7</f>
        <v>5500000</v>
      </c>
      <c r="H8" s="4">
        <f>5*'Bisnis Plan'!I7</f>
        <v>5500000</v>
      </c>
      <c r="I8" s="4">
        <f>5*'Bisnis Plan'!I7</f>
        <v>5500000</v>
      </c>
      <c r="J8" s="4">
        <f>5*'Bisnis Plan'!I7</f>
        <v>5500000</v>
      </c>
      <c r="K8" s="4">
        <f>5*'Bisnis Plan'!I7</f>
        <v>5500000</v>
      </c>
      <c r="L8" s="4">
        <f>5*'Bisnis Plan'!I7</f>
        <v>5500000</v>
      </c>
      <c r="M8" s="4">
        <f>5*'Bisnis Plan'!I7</f>
        <v>5500000</v>
      </c>
      <c r="N8" s="4">
        <f>5*'Bisnis Plan'!I7</f>
        <v>5500000</v>
      </c>
    </row>
    <row r="9" spans="1:14" ht="12.75">
      <c r="A9" s="29"/>
      <c r="B9" s="96" t="s">
        <v>95</v>
      </c>
      <c r="C9" s="4">
        <f>5*'Bisnis Plan'!J8</f>
        <v>7500000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f>5*'Bisnis Plan'!J8</f>
        <v>7500000</v>
      </c>
      <c r="J9" s="4">
        <v>0</v>
      </c>
      <c r="K9" s="4">
        <v>0</v>
      </c>
      <c r="L9" s="4">
        <v>0</v>
      </c>
      <c r="M9" s="4">
        <v>0</v>
      </c>
      <c r="N9" s="4">
        <v>0</v>
      </c>
    </row>
    <row r="10" spans="1:14" ht="12.75">
      <c r="A10" s="29"/>
      <c r="B10" s="96" t="s">
        <v>96</v>
      </c>
      <c r="C10" s="4">
        <f>5*'Bisnis Plan'!J9</f>
        <v>500000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f>5*'Bisnis Plan'!J9</f>
        <v>500000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</row>
    <row r="11" spans="1:14" ht="12.75">
      <c r="A11" s="29"/>
      <c r="C11" s="1">
        <f aca="true" t="shared" si="0" ref="C11:N11">C8+C9+C10-C7</f>
        <v>10475000</v>
      </c>
      <c r="D11" s="1">
        <f t="shared" si="0"/>
        <v>2475000</v>
      </c>
      <c r="E11" s="1">
        <f t="shared" si="0"/>
        <v>2475000</v>
      </c>
      <c r="F11" s="1">
        <f t="shared" si="0"/>
        <v>2475000</v>
      </c>
      <c r="G11" s="1">
        <f t="shared" si="0"/>
        <v>2475000</v>
      </c>
      <c r="H11" s="1">
        <f t="shared" si="0"/>
        <v>2475000</v>
      </c>
      <c r="I11" s="1">
        <f t="shared" si="0"/>
        <v>10475000</v>
      </c>
      <c r="J11" s="1">
        <f t="shared" si="0"/>
        <v>2475000</v>
      </c>
      <c r="K11" s="1">
        <f t="shared" si="0"/>
        <v>2475000</v>
      </c>
      <c r="L11" s="1">
        <f t="shared" si="0"/>
        <v>2475000</v>
      </c>
      <c r="M11" s="1">
        <f t="shared" si="0"/>
        <v>2475000</v>
      </c>
      <c r="N11" s="1">
        <f t="shared" si="0"/>
        <v>2475000</v>
      </c>
    </row>
    <row r="12" spans="1:14" ht="12.75">
      <c r="A12" s="5"/>
      <c r="B12" s="8" t="s">
        <v>138</v>
      </c>
      <c r="C12" s="9">
        <f>C11</f>
        <v>10475000</v>
      </c>
      <c r="D12" s="9">
        <f>C12+D11</f>
        <v>12950000</v>
      </c>
      <c r="E12" s="9">
        <f>D12+E11</f>
        <v>15425000</v>
      </c>
      <c r="F12" s="9">
        <f aca="true" t="shared" si="1" ref="F12:N12">F11+E12</f>
        <v>17900000</v>
      </c>
      <c r="G12" s="9">
        <f t="shared" si="1"/>
        <v>20375000</v>
      </c>
      <c r="H12" s="9">
        <f t="shared" si="1"/>
        <v>22850000</v>
      </c>
      <c r="I12" s="9">
        <f t="shared" si="1"/>
        <v>33325000</v>
      </c>
      <c r="J12" s="9">
        <f t="shared" si="1"/>
        <v>35800000</v>
      </c>
      <c r="K12" s="9">
        <f t="shared" si="1"/>
        <v>38275000</v>
      </c>
      <c r="L12" s="9">
        <f t="shared" si="1"/>
        <v>40750000</v>
      </c>
      <c r="M12" s="9">
        <f t="shared" si="1"/>
        <v>43225000</v>
      </c>
      <c r="N12" s="9">
        <f t="shared" si="1"/>
        <v>45700000</v>
      </c>
    </row>
    <row r="13" spans="1:3" ht="12.75">
      <c r="A13" s="5"/>
      <c r="B13" s="95"/>
      <c r="C13" s="4"/>
    </row>
    <row r="14" spans="1:14" ht="12.75">
      <c r="A14" s="5"/>
      <c r="B14" s="94"/>
      <c r="C14" s="4"/>
      <c r="D14" s="4"/>
      <c r="E14" s="12"/>
      <c r="F14" s="4"/>
      <c r="G14" s="4"/>
      <c r="H14" s="4"/>
      <c r="I14" s="4"/>
      <c r="J14" s="4"/>
      <c r="K14" s="4"/>
      <c r="L14" s="4"/>
      <c r="M14" s="4"/>
      <c r="N14" s="4"/>
    </row>
    <row r="15" spans="1:14" ht="51">
      <c r="A15" s="98" t="s">
        <v>92</v>
      </c>
      <c r="B15" s="93" t="s">
        <v>126</v>
      </c>
      <c r="C15" s="4">
        <f>RAB!G10+RAB!J10+RAB!M10+RAB!G21+RAB!J21</f>
        <v>104060000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2.75">
      <c r="A16" s="5"/>
      <c r="B16" s="93" t="s">
        <v>125</v>
      </c>
      <c r="C16" s="4"/>
      <c r="D16" s="4">
        <f>RAB!G34+RAB!G44+RAB!M44+RAB!M54</f>
        <v>197565000</v>
      </c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2.75">
      <c r="A17" s="5"/>
      <c r="B17" s="93" t="s">
        <v>127</v>
      </c>
      <c r="C17" s="4"/>
      <c r="D17" s="4"/>
      <c r="E17" s="4">
        <f>RAB!J63+RAB!M63</f>
        <v>69275000</v>
      </c>
      <c r="F17" s="4"/>
      <c r="G17" s="4"/>
      <c r="H17" s="4"/>
      <c r="I17" s="4"/>
      <c r="J17" s="4"/>
      <c r="K17" s="4"/>
      <c r="L17" s="4"/>
      <c r="M17" s="4"/>
      <c r="N17" s="4"/>
    </row>
    <row r="18" spans="1:14" ht="12.75">
      <c r="A18" s="5"/>
      <c r="B18" s="96" t="s">
        <v>128</v>
      </c>
      <c r="C18" s="4">
        <f>10*'Bisnis Plan'!E12</f>
        <v>240000</v>
      </c>
      <c r="D18" s="4">
        <f>20*'Bisnis Plan'!E12</f>
        <v>480000</v>
      </c>
      <c r="E18" s="4">
        <f>30*'Bisnis Plan'!E12</f>
        <v>720000</v>
      </c>
      <c r="F18" s="4">
        <f>40*'Bisnis Plan'!E12</f>
        <v>960000</v>
      </c>
      <c r="G18" s="4">
        <f>50*'Bisnis Plan'!E12</f>
        <v>1200000</v>
      </c>
      <c r="H18" s="4">
        <f>60*'Bisnis Plan'!E12</f>
        <v>1440000</v>
      </c>
      <c r="I18" s="4">
        <f>70*'Bisnis Plan'!E12</f>
        <v>1680000</v>
      </c>
      <c r="J18" s="4">
        <f>80*'Bisnis Plan'!E12</f>
        <v>1920000</v>
      </c>
      <c r="K18" s="4">
        <f>90*'Bisnis Plan'!E12</f>
        <v>2160000</v>
      </c>
      <c r="L18" s="4">
        <f>100*'Bisnis Plan'!E12</f>
        <v>2400000</v>
      </c>
      <c r="M18" s="4">
        <f>110*'Bisnis Plan'!E12</f>
        <v>2640000</v>
      </c>
      <c r="N18" s="4">
        <f>120*'Bisnis Plan'!E12</f>
        <v>2880000</v>
      </c>
    </row>
    <row r="19" spans="1:14" ht="33.75">
      <c r="A19" s="5"/>
      <c r="B19" s="97" t="s">
        <v>129</v>
      </c>
      <c r="C19" s="4">
        <f>20*'Bisnis Plan'!E13</f>
        <v>10000000</v>
      </c>
      <c r="D19" s="4">
        <f>20*'Bisnis Plan'!E13</f>
        <v>10000000</v>
      </c>
      <c r="E19" s="4">
        <f>20*'Bisnis Plan'!E13</f>
        <v>10000000</v>
      </c>
      <c r="F19" s="4">
        <f>20*'Bisnis Plan'!E13</f>
        <v>10000000</v>
      </c>
      <c r="G19" s="4">
        <f>20*'Bisnis Plan'!E13</f>
        <v>10000000</v>
      </c>
      <c r="H19" s="4">
        <f>20*'Bisnis Plan'!E13</f>
        <v>10000000</v>
      </c>
      <c r="I19" s="4">
        <f>30*'Bisnis Plan'!E13</f>
        <v>15000000</v>
      </c>
      <c r="J19" s="4">
        <f>30*'Bisnis Plan'!E13</f>
        <v>15000000</v>
      </c>
      <c r="K19" s="4">
        <f>30*'Bisnis Plan'!E13</f>
        <v>15000000</v>
      </c>
      <c r="L19" s="4">
        <f>30*'Bisnis Plan'!E13</f>
        <v>15000000</v>
      </c>
      <c r="M19" s="4">
        <f>30*'Bisnis Plan'!E13</f>
        <v>15000000</v>
      </c>
      <c r="N19" s="4">
        <f>30*'Bisnis Plan'!E13</f>
        <v>15000000</v>
      </c>
    </row>
    <row r="20" spans="1:14" ht="12.75">
      <c r="A20" s="5"/>
      <c r="B20" s="96" t="s">
        <v>130</v>
      </c>
      <c r="C20" s="4">
        <f>15*'Bisnis Plan'!E14</f>
        <v>15000000</v>
      </c>
      <c r="D20" s="4">
        <f>15*'Bisnis Plan'!E14</f>
        <v>15000000</v>
      </c>
      <c r="E20" s="4">
        <f>15*'Bisnis Plan'!E14</f>
        <v>15000000</v>
      </c>
      <c r="F20" s="4">
        <f>20*'Bisnis Plan'!E14</f>
        <v>20000000</v>
      </c>
      <c r="G20" s="4">
        <f>20*'Bisnis Plan'!E14</f>
        <v>20000000</v>
      </c>
      <c r="H20" s="4">
        <f>20*'Bisnis Plan'!E14</f>
        <v>20000000</v>
      </c>
      <c r="I20" s="4">
        <f>20*'Bisnis Plan'!E14</f>
        <v>20000000</v>
      </c>
      <c r="J20" s="4">
        <f>35*'Bisnis Plan'!E14</f>
        <v>35000000</v>
      </c>
      <c r="K20" s="4">
        <f>15*'Bisnis Plan'!E14</f>
        <v>15000000</v>
      </c>
      <c r="L20" s="4">
        <f>15*'Bisnis Plan'!E14</f>
        <v>15000000</v>
      </c>
      <c r="M20" s="4">
        <f>15*'Bisnis Plan'!E14</f>
        <v>15000000</v>
      </c>
      <c r="N20" s="4">
        <f>35*'Bisnis Plan'!E14</f>
        <v>35000000</v>
      </c>
    </row>
    <row r="21" spans="1:14" ht="22.5">
      <c r="A21" s="5"/>
      <c r="B21" s="97" t="s">
        <v>131</v>
      </c>
      <c r="C21" s="4"/>
      <c r="D21" s="4">
        <f>2*'Bisnis Plan'!E15</f>
        <v>100000000</v>
      </c>
      <c r="E21" s="4"/>
      <c r="F21" s="4"/>
      <c r="G21" s="4">
        <f>2*'Bisnis Plan'!E15</f>
        <v>100000000</v>
      </c>
      <c r="I21" s="4"/>
      <c r="J21" s="4">
        <f>2*'Bisnis Plan'!E15</f>
        <v>100000000</v>
      </c>
      <c r="K21" s="4"/>
      <c r="L21" s="4"/>
      <c r="M21" s="4">
        <f>'Bisnis Plan'!E15</f>
        <v>50000000</v>
      </c>
      <c r="N21" s="4"/>
    </row>
    <row r="22" spans="1:14" ht="12.75">
      <c r="A22" s="5"/>
      <c r="B22" s="5"/>
      <c r="C22" s="4">
        <f>C18+C19+C20-C15</f>
        <v>-78820000</v>
      </c>
      <c r="D22" s="4">
        <f>D18+D19+D20-D16</f>
        <v>-172085000</v>
      </c>
      <c r="E22" s="4">
        <f>E18+E19+E20-E17</f>
        <v>-43555000</v>
      </c>
      <c r="F22" s="4">
        <f aca="true" t="shared" si="2" ref="F22:N22">SUM(F18:F21)</f>
        <v>30960000</v>
      </c>
      <c r="G22" s="4">
        <f t="shared" si="2"/>
        <v>131200000</v>
      </c>
      <c r="H22" s="4">
        <f t="shared" si="2"/>
        <v>31440000</v>
      </c>
      <c r="I22" s="4">
        <f t="shared" si="2"/>
        <v>36680000</v>
      </c>
      <c r="J22" s="4">
        <f t="shared" si="2"/>
        <v>151920000</v>
      </c>
      <c r="K22" s="4">
        <f t="shared" si="2"/>
        <v>32160000</v>
      </c>
      <c r="L22" s="4">
        <f t="shared" si="2"/>
        <v>32400000</v>
      </c>
      <c r="M22" s="4">
        <f t="shared" si="2"/>
        <v>82640000</v>
      </c>
      <c r="N22" s="4">
        <f t="shared" si="2"/>
        <v>52880000</v>
      </c>
    </row>
    <row r="23" spans="1:14" ht="12.75">
      <c r="A23" s="5"/>
      <c r="B23" s="8" t="s">
        <v>138</v>
      </c>
      <c r="C23" s="9">
        <f>0+C22</f>
        <v>-78820000</v>
      </c>
      <c r="D23" s="9">
        <f aca="true" t="shared" si="3" ref="D23:N23">C23+D22</f>
        <v>-250905000</v>
      </c>
      <c r="E23" s="9">
        <f t="shared" si="3"/>
        <v>-294460000</v>
      </c>
      <c r="F23" s="9">
        <f t="shared" si="3"/>
        <v>-263500000</v>
      </c>
      <c r="G23" s="9">
        <f t="shared" si="3"/>
        <v>-132300000</v>
      </c>
      <c r="H23" s="9">
        <f t="shared" si="3"/>
        <v>-100860000</v>
      </c>
      <c r="I23" s="9">
        <f t="shared" si="3"/>
        <v>-64180000</v>
      </c>
      <c r="J23" s="9">
        <f t="shared" si="3"/>
        <v>87740000</v>
      </c>
      <c r="K23" s="9">
        <f t="shared" si="3"/>
        <v>119900000</v>
      </c>
      <c r="L23" s="9">
        <f t="shared" si="3"/>
        <v>152300000</v>
      </c>
      <c r="M23" s="9">
        <f t="shared" si="3"/>
        <v>234940000</v>
      </c>
      <c r="N23" s="9">
        <f t="shared" si="3"/>
        <v>287820000</v>
      </c>
    </row>
    <row r="24" spans="1:14" ht="12.75">
      <c r="A24" s="5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2" t="s">
        <v>132</v>
      </c>
      <c r="B25" s="93" t="s">
        <v>123</v>
      </c>
      <c r="C25" s="4">
        <f>'Bisnis Plan'!F18+6*'Bisnis Plan'!F20</f>
        <v>6000000</v>
      </c>
      <c r="D25" s="4">
        <f>'Bisnis Plan'!F18+6*'Bisnis Plan'!F20</f>
        <v>6000000</v>
      </c>
      <c r="E25" s="4">
        <f>'Bisnis Plan'!F18+6*'Bisnis Plan'!F20</f>
        <v>6000000</v>
      </c>
      <c r="F25" s="4">
        <f>'Bisnis Plan'!F18+6*'Bisnis Plan'!F20</f>
        <v>6000000</v>
      </c>
      <c r="G25" s="4">
        <f>'Bisnis Plan'!F18+6*'Bisnis Plan'!F20</f>
        <v>6000000</v>
      </c>
      <c r="H25" s="4">
        <f>'Bisnis Plan'!F18+6*'Bisnis Plan'!F20</f>
        <v>6000000</v>
      </c>
      <c r="I25" s="4">
        <f>'Bisnis Plan'!F18+6*'Bisnis Plan'!F20</f>
        <v>6000000</v>
      </c>
      <c r="J25" s="4">
        <f>'Bisnis Plan'!F18+6*'Bisnis Plan'!F20</f>
        <v>6000000</v>
      </c>
      <c r="K25" s="4">
        <f>'Bisnis Plan'!F18+6*'Bisnis Plan'!F20</f>
        <v>6000000</v>
      </c>
      <c r="L25" s="4">
        <f>'Bisnis Plan'!F18+6*'Bisnis Plan'!F20</f>
        <v>6000000</v>
      </c>
      <c r="M25" s="4">
        <f>'Bisnis Plan'!F18+6*'Bisnis Plan'!F20</f>
        <v>6000000</v>
      </c>
      <c r="N25" s="4">
        <f>'Bisnis Plan'!F18+6*'Bisnis Plan'!F20</f>
        <v>6000000</v>
      </c>
    </row>
    <row r="26" spans="2:14" ht="12.75">
      <c r="B26" s="26" t="s">
        <v>133</v>
      </c>
      <c r="C26" s="4">
        <f>'Bisnis Plan'!E18</f>
        <v>2000000</v>
      </c>
      <c r="D26" s="4">
        <f>'Bisnis Plan'!E18</f>
        <v>2000000</v>
      </c>
      <c r="E26" s="4">
        <f>'Bisnis Plan'!E18</f>
        <v>2000000</v>
      </c>
      <c r="F26" s="4">
        <f>'Bisnis Plan'!E18</f>
        <v>2000000</v>
      </c>
      <c r="G26" s="4">
        <f>'Bisnis Plan'!E18</f>
        <v>2000000</v>
      </c>
      <c r="H26" s="4">
        <f>'Bisnis Plan'!E18</f>
        <v>2000000</v>
      </c>
      <c r="I26" s="4">
        <f>'Bisnis Plan'!E18</f>
        <v>2000000</v>
      </c>
      <c r="J26" s="4">
        <f>'Bisnis Plan'!E18</f>
        <v>2000000</v>
      </c>
      <c r="K26" s="4">
        <f>'Bisnis Plan'!E18</f>
        <v>2000000</v>
      </c>
      <c r="L26" s="4">
        <f>'Bisnis Plan'!E18</f>
        <v>2000000</v>
      </c>
      <c r="M26" s="4">
        <f>'Bisnis Plan'!E18</f>
        <v>2000000</v>
      </c>
      <c r="N26" s="4">
        <f>'Bisnis Plan'!E18</f>
        <v>2000000</v>
      </c>
    </row>
    <row r="27" spans="1:14" ht="12.75">
      <c r="A27" s="5"/>
      <c r="B27" s="26" t="s">
        <v>134</v>
      </c>
      <c r="C27" s="4">
        <v>1500000</v>
      </c>
      <c r="D27" s="4">
        <v>1500000</v>
      </c>
      <c r="E27" s="4">
        <v>1500000</v>
      </c>
      <c r="F27" s="4">
        <v>1500000</v>
      </c>
      <c r="G27" s="4">
        <v>1500000</v>
      </c>
      <c r="H27" s="4">
        <v>1500000</v>
      </c>
      <c r="I27" s="4">
        <v>1500000</v>
      </c>
      <c r="J27" s="4">
        <v>1500000</v>
      </c>
      <c r="K27" s="4">
        <v>1500000</v>
      </c>
      <c r="L27" s="4">
        <v>1500000</v>
      </c>
      <c r="M27" s="4">
        <v>1500000</v>
      </c>
      <c r="N27" s="4">
        <v>1500000</v>
      </c>
    </row>
    <row r="28" spans="1:14" ht="12.75">
      <c r="A28" s="5"/>
      <c r="B28" s="26" t="s">
        <v>135</v>
      </c>
      <c r="C28" s="4">
        <f>'Bisnis Plan'!E20*6</f>
        <v>6000000</v>
      </c>
      <c r="D28" s="4">
        <f>'Bisnis Plan'!E20*6</f>
        <v>6000000</v>
      </c>
      <c r="E28" s="4">
        <f>'Bisnis Plan'!E20*6</f>
        <v>6000000</v>
      </c>
      <c r="F28" s="4">
        <f>'Bisnis Plan'!E20*6</f>
        <v>6000000</v>
      </c>
      <c r="G28" s="4">
        <f>'Bisnis Plan'!E20*6</f>
        <v>6000000</v>
      </c>
      <c r="H28" s="4">
        <f>'Bisnis Plan'!E20*6</f>
        <v>6000000</v>
      </c>
      <c r="I28" s="4">
        <f>'Bisnis Plan'!E20*6</f>
        <v>6000000</v>
      </c>
      <c r="J28" s="4">
        <f>'Bisnis Plan'!E20*6</f>
        <v>6000000</v>
      </c>
      <c r="K28" s="4">
        <f>'Bisnis Plan'!E20*6</f>
        <v>6000000</v>
      </c>
      <c r="L28" s="4">
        <f>'Bisnis Plan'!E20*6</f>
        <v>6000000</v>
      </c>
      <c r="M28" s="4">
        <f>'Bisnis Plan'!E20*6</f>
        <v>6000000</v>
      </c>
      <c r="N28" s="4">
        <f>'Bisnis Plan'!E20*6</f>
        <v>6000000</v>
      </c>
    </row>
    <row r="29" spans="1:14" ht="12.75">
      <c r="A29" s="5"/>
      <c r="B29" s="5"/>
      <c r="C29" s="4">
        <f aca="true" t="shared" si="4" ref="C29:N29">C26+C27+C28-C25</f>
        <v>3500000</v>
      </c>
      <c r="D29" s="4">
        <f t="shared" si="4"/>
        <v>3500000</v>
      </c>
      <c r="E29" s="4">
        <f t="shared" si="4"/>
        <v>3500000</v>
      </c>
      <c r="F29" s="4">
        <f t="shared" si="4"/>
        <v>3500000</v>
      </c>
      <c r="G29" s="4">
        <f t="shared" si="4"/>
        <v>3500000</v>
      </c>
      <c r="H29" s="4">
        <f t="shared" si="4"/>
        <v>3500000</v>
      </c>
      <c r="I29" s="4">
        <f t="shared" si="4"/>
        <v>3500000</v>
      </c>
      <c r="J29" s="4">
        <f t="shared" si="4"/>
        <v>3500000</v>
      </c>
      <c r="K29" s="4">
        <f t="shared" si="4"/>
        <v>3500000</v>
      </c>
      <c r="L29" s="4">
        <f t="shared" si="4"/>
        <v>3500000</v>
      </c>
      <c r="M29" s="4">
        <f t="shared" si="4"/>
        <v>3500000</v>
      </c>
      <c r="N29" s="4">
        <f t="shared" si="4"/>
        <v>3500000</v>
      </c>
    </row>
    <row r="30" spans="1:14" ht="12.75">
      <c r="A30" s="5"/>
      <c r="B30" s="8" t="s">
        <v>138</v>
      </c>
      <c r="C30" s="9">
        <f>C29</f>
        <v>3500000</v>
      </c>
      <c r="D30" s="9">
        <f aca="true" t="shared" si="5" ref="D30:N30">C30+D29</f>
        <v>7000000</v>
      </c>
      <c r="E30" s="9">
        <f t="shared" si="5"/>
        <v>10500000</v>
      </c>
      <c r="F30" s="9">
        <f t="shared" si="5"/>
        <v>14000000</v>
      </c>
      <c r="G30" s="9">
        <f t="shared" si="5"/>
        <v>17500000</v>
      </c>
      <c r="H30" s="9">
        <f t="shared" si="5"/>
        <v>21000000</v>
      </c>
      <c r="I30" s="9">
        <f t="shared" si="5"/>
        <v>24500000</v>
      </c>
      <c r="J30" s="9">
        <f t="shared" si="5"/>
        <v>28000000</v>
      </c>
      <c r="K30" s="9">
        <f t="shared" si="5"/>
        <v>31500000</v>
      </c>
      <c r="L30" s="9">
        <f t="shared" si="5"/>
        <v>35000000</v>
      </c>
      <c r="M30" s="9">
        <f t="shared" si="5"/>
        <v>38500000</v>
      </c>
      <c r="N30" s="9">
        <f t="shared" si="5"/>
        <v>42000000</v>
      </c>
    </row>
    <row r="32" spans="1:14" ht="12.75">
      <c r="A32" s="99" t="s">
        <v>139</v>
      </c>
      <c r="B32" s="99" t="s">
        <v>138</v>
      </c>
      <c r="C32" s="100">
        <f aca="true" t="shared" si="6" ref="C32:N32">C12+C23+C30</f>
        <v>-64845000</v>
      </c>
      <c r="D32" s="100">
        <f t="shared" si="6"/>
        <v>-230955000</v>
      </c>
      <c r="E32" s="100">
        <f t="shared" si="6"/>
        <v>-268535000</v>
      </c>
      <c r="F32" s="100">
        <f t="shared" si="6"/>
        <v>-231600000</v>
      </c>
      <c r="G32" s="100">
        <f t="shared" si="6"/>
        <v>-94425000</v>
      </c>
      <c r="H32" s="100">
        <f t="shared" si="6"/>
        <v>-57010000</v>
      </c>
      <c r="I32" s="100">
        <f t="shared" si="6"/>
        <v>-6355000</v>
      </c>
      <c r="J32" s="100">
        <f t="shared" si="6"/>
        <v>151540000</v>
      </c>
      <c r="K32" s="100">
        <f t="shared" si="6"/>
        <v>189675000</v>
      </c>
      <c r="L32" s="100">
        <f t="shared" si="6"/>
        <v>228050000</v>
      </c>
      <c r="M32" s="100">
        <f t="shared" si="6"/>
        <v>316665000</v>
      </c>
      <c r="N32" s="100">
        <f t="shared" si="6"/>
        <v>375520000</v>
      </c>
    </row>
  </sheetData>
  <mergeCells count="2">
    <mergeCell ref="C3:N3"/>
    <mergeCell ref="A5:A8"/>
  </mergeCells>
  <hyperlinks>
    <hyperlink ref="A15" r:id="rId1" display="www.destinationsolo.com"/>
  </hyperlinks>
  <printOptions/>
  <pageMargins left="0.75" right="0.75" top="1" bottom="1" header="0.5" footer="0.5"/>
  <pageSetup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20">
      <selection activeCell="G36" sqref="G36"/>
    </sheetView>
  </sheetViews>
  <sheetFormatPr defaultColWidth="9.140625" defaultRowHeight="12.75"/>
  <cols>
    <col min="1" max="1" width="22.421875" style="0" customWidth="1"/>
    <col min="2" max="2" width="17.57421875" style="0" customWidth="1"/>
    <col min="3" max="3" width="11.7109375" style="0" bestFit="1" customWidth="1"/>
    <col min="4" max="4" width="11.421875" style="0" customWidth="1"/>
    <col min="5" max="5" width="12.00390625" style="0" customWidth="1"/>
    <col min="6" max="6" width="11.57421875" style="0" customWidth="1"/>
    <col min="7" max="7" width="11.421875" style="0" customWidth="1"/>
    <col min="8" max="8" width="12.140625" style="0" customWidth="1"/>
    <col min="9" max="9" width="11.421875" style="0" customWidth="1"/>
    <col min="10" max="10" width="12.8515625" style="0" customWidth="1"/>
    <col min="11" max="11" width="11.7109375" style="0" customWidth="1"/>
    <col min="12" max="12" width="11.8515625" style="0" customWidth="1"/>
    <col min="13" max="13" width="12.140625" style="0" customWidth="1"/>
    <col min="14" max="14" width="11.140625" style="0" bestFit="1" customWidth="1"/>
  </cols>
  <sheetData>
    <row r="1" ht="12.75">
      <c r="A1" s="89" t="s">
        <v>140</v>
      </c>
    </row>
    <row r="3" spans="1:15" ht="12.75">
      <c r="A3" s="5"/>
      <c r="B3" s="10"/>
      <c r="C3" s="44" t="s">
        <v>120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90"/>
    </row>
    <row r="4" spans="1:15" ht="12.75">
      <c r="A4" s="5"/>
      <c r="B4" s="10" t="s">
        <v>86</v>
      </c>
      <c r="C4" s="10">
        <v>1</v>
      </c>
      <c r="D4" s="10">
        <v>2</v>
      </c>
      <c r="E4" s="10">
        <v>3</v>
      </c>
      <c r="F4" s="10">
        <v>4</v>
      </c>
      <c r="G4" s="10">
        <v>5</v>
      </c>
      <c r="H4" s="10">
        <v>6</v>
      </c>
      <c r="I4" s="10">
        <v>7</v>
      </c>
      <c r="J4" s="10">
        <v>8</v>
      </c>
      <c r="K4" s="10">
        <v>9</v>
      </c>
      <c r="L4" s="10">
        <v>10</v>
      </c>
      <c r="M4" s="10">
        <v>11</v>
      </c>
      <c r="N4" s="10">
        <v>12</v>
      </c>
      <c r="O4" s="90"/>
    </row>
    <row r="5" spans="1:14" ht="25.5">
      <c r="A5" s="91" t="s">
        <v>74</v>
      </c>
      <c r="B5" s="92" t="s">
        <v>121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45"/>
      <c r="B6" s="93" t="s">
        <v>122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45"/>
      <c r="B7" s="93" t="s">
        <v>123</v>
      </c>
      <c r="C7" s="4">
        <f>5*'Bisnis Plan'!J7</f>
        <v>3025000</v>
      </c>
      <c r="D7" s="4">
        <f>5*'Bisnis Plan'!J7</f>
        <v>3025000</v>
      </c>
      <c r="E7" s="4">
        <f>5*'Bisnis Plan'!J7</f>
        <v>3025000</v>
      </c>
      <c r="F7" s="4">
        <f>5*'Bisnis Plan'!J7</f>
        <v>3025000</v>
      </c>
      <c r="G7" s="4">
        <f>5*'Bisnis Plan'!J7</f>
        <v>3025000</v>
      </c>
      <c r="H7" s="4">
        <f>5*'Bisnis Plan'!J7</f>
        <v>3025000</v>
      </c>
      <c r="I7" s="4">
        <f>5*'Bisnis Plan'!J7</f>
        <v>3025000</v>
      </c>
      <c r="J7" s="4">
        <f>5*'Bisnis Plan'!J7</f>
        <v>3025000</v>
      </c>
      <c r="K7" s="4">
        <f>5*'Bisnis Plan'!J7</f>
        <v>3025000</v>
      </c>
      <c r="L7" s="4">
        <f>5*'Bisnis Plan'!J7</f>
        <v>3025000</v>
      </c>
      <c r="M7" s="4">
        <f>5*'Bisnis Plan'!J7</f>
        <v>3025000</v>
      </c>
      <c r="N7" s="4">
        <f>5*'Bisnis Plan'!J7</f>
        <v>3025000</v>
      </c>
    </row>
    <row r="8" spans="1:14" ht="12.75">
      <c r="A8" s="45"/>
      <c r="B8" s="96" t="s">
        <v>94</v>
      </c>
      <c r="C8" s="4">
        <f>5*'Bisnis Plan'!I7</f>
        <v>5500000</v>
      </c>
      <c r="D8" s="4">
        <f>5*'Bisnis Plan'!I7</f>
        <v>5500000</v>
      </c>
      <c r="E8" s="4">
        <f>5*'Bisnis Plan'!I7</f>
        <v>5500000</v>
      </c>
      <c r="F8" s="4">
        <f>5*'Bisnis Plan'!I7</f>
        <v>5500000</v>
      </c>
      <c r="G8" s="4">
        <f>5*'Bisnis Plan'!I7</f>
        <v>5500000</v>
      </c>
      <c r="H8" s="4">
        <f>5*'Bisnis Plan'!I7</f>
        <v>5500000</v>
      </c>
      <c r="I8" s="4">
        <f>5*'Bisnis Plan'!I7</f>
        <v>5500000</v>
      </c>
      <c r="J8" s="4">
        <f>5*'Bisnis Plan'!I7</f>
        <v>5500000</v>
      </c>
      <c r="K8" s="4">
        <f>5*'Bisnis Plan'!I7</f>
        <v>5500000</v>
      </c>
      <c r="L8" s="4">
        <f>5*'Bisnis Plan'!I7</f>
        <v>5500000</v>
      </c>
      <c r="M8" s="4">
        <f>5*'Bisnis Plan'!I7</f>
        <v>5500000</v>
      </c>
      <c r="N8" s="4">
        <f>5*'Bisnis Plan'!I7</f>
        <v>5500000</v>
      </c>
    </row>
    <row r="9" spans="1:14" ht="12.75">
      <c r="A9" s="29"/>
      <c r="B9" s="96" t="s">
        <v>95</v>
      </c>
      <c r="C9" s="4">
        <f>5*'Bisnis Plan'!J8</f>
        <v>7500000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f>5*'Bisnis Plan'!J8</f>
        <v>7500000</v>
      </c>
      <c r="J9" s="4">
        <v>0</v>
      </c>
      <c r="K9" s="4">
        <v>0</v>
      </c>
      <c r="L9" s="4">
        <v>0</v>
      </c>
      <c r="M9" s="4">
        <v>0</v>
      </c>
      <c r="N9" s="4">
        <v>0</v>
      </c>
    </row>
    <row r="10" spans="1:14" ht="12.75">
      <c r="A10" s="29"/>
      <c r="B10" s="96" t="s">
        <v>96</v>
      </c>
      <c r="C10" s="4">
        <f>5*'Bisnis Plan'!J9</f>
        <v>500000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f>5*'Bisnis Plan'!J9</f>
        <v>500000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</row>
    <row r="11" spans="1:14" ht="12.75">
      <c r="A11" s="29"/>
      <c r="C11" s="1">
        <f>C8+C9+C10-C7</f>
        <v>10475000</v>
      </c>
      <c r="D11" s="1">
        <f aca="true" t="shared" si="0" ref="D11:N11">D8+D9+D10-D7</f>
        <v>2475000</v>
      </c>
      <c r="E11" s="1">
        <f t="shared" si="0"/>
        <v>2475000</v>
      </c>
      <c r="F11" s="1">
        <f t="shared" si="0"/>
        <v>2475000</v>
      </c>
      <c r="G11" s="1">
        <f t="shared" si="0"/>
        <v>2475000</v>
      </c>
      <c r="H11" s="1">
        <f t="shared" si="0"/>
        <v>2475000</v>
      </c>
      <c r="I11" s="1">
        <f t="shared" si="0"/>
        <v>10475000</v>
      </c>
      <c r="J11" s="1">
        <f t="shared" si="0"/>
        <v>2475000</v>
      </c>
      <c r="K11" s="1">
        <f t="shared" si="0"/>
        <v>2475000</v>
      </c>
      <c r="L11" s="1">
        <f t="shared" si="0"/>
        <v>2475000</v>
      </c>
      <c r="M11" s="1">
        <f t="shared" si="0"/>
        <v>2475000</v>
      </c>
      <c r="N11" s="1">
        <f t="shared" si="0"/>
        <v>2475000</v>
      </c>
    </row>
    <row r="12" spans="1:14" ht="12.75">
      <c r="A12" s="5"/>
      <c r="B12" s="8" t="s">
        <v>138</v>
      </c>
      <c r="C12" s="9">
        <f>C11</f>
        <v>10475000</v>
      </c>
      <c r="D12" s="9">
        <f>C12+D11</f>
        <v>12950000</v>
      </c>
      <c r="E12" s="9">
        <f>D12+E11</f>
        <v>15425000</v>
      </c>
      <c r="F12" s="9">
        <f>F11+E12</f>
        <v>17900000</v>
      </c>
      <c r="G12" s="9">
        <f>G11+F12</f>
        <v>20375000</v>
      </c>
      <c r="H12" s="9">
        <f aca="true" t="shared" si="1" ref="H12:N12">H11+G12</f>
        <v>22850000</v>
      </c>
      <c r="I12" s="9">
        <f t="shared" si="1"/>
        <v>33325000</v>
      </c>
      <c r="J12" s="9">
        <f t="shared" si="1"/>
        <v>35800000</v>
      </c>
      <c r="K12" s="9">
        <f t="shared" si="1"/>
        <v>38275000</v>
      </c>
      <c r="L12" s="9">
        <f t="shared" si="1"/>
        <v>40750000</v>
      </c>
      <c r="M12" s="9">
        <f t="shared" si="1"/>
        <v>43225000</v>
      </c>
      <c r="N12" s="9">
        <f t="shared" si="1"/>
        <v>45700000</v>
      </c>
    </row>
    <row r="13" spans="1:3" ht="12.75">
      <c r="A13" s="5"/>
      <c r="B13" s="95"/>
      <c r="C13" s="4"/>
    </row>
    <row r="14" spans="1:14" ht="12.75">
      <c r="A14" s="5"/>
      <c r="B14" s="94"/>
      <c r="C14" s="4"/>
      <c r="D14" s="4"/>
      <c r="E14" s="12"/>
      <c r="F14" s="4"/>
      <c r="G14" s="4"/>
      <c r="H14" s="4"/>
      <c r="I14" s="4"/>
      <c r="J14" s="4"/>
      <c r="K14" s="4"/>
      <c r="L14" s="4"/>
      <c r="M14" s="4"/>
      <c r="N14" s="4"/>
    </row>
    <row r="15" spans="1:14" ht="51">
      <c r="A15" s="98" t="s">
        <v>92</v>
      </c>
      <c r="B15" s="93" t="s">
        <v>126</v>
      </c>
      <c r="C15" s="4">
        <f>RAB!H10+RAB!K21+RAB!N21</f>
        <v>80625000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2.75">
      <c r="A16" s="5"/>
      <c r="B16" s="93" t="s">
        <v>125</v>
      </c>
      <c r="C16" s="4"/>
      <c r="D16" s="4">
        <f>RAB!H44+RAB!N44+RAB!K54+RAB!N54</f>
        <v>65150000</v>
      </c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2.75">
      <c r="A17" s="5"/>
      <c r="B17" s="93" t="s">
        <v>127</v>
      </c>
      <c r="C17" s="4"/>
      <c r="D17" s="4"/>
      <c r="E17" s="4">
        <f>RAB!H63+RAB!K63+RAB!N63</f>
        <v>204225000</v>
      </c>
      <c r="F17" s="4"/>
      <c r="G17" s="4"/>
      <c r="H17" s="4"/>
      <c r="I17" s="4"/>
      <c r="J17" s="4"/>
      <c r="K17" s="4"/>
      <c r="L17" s="4"/>
      <c r="M17" s="4"/>
      <c r="N17" s="4"/>
    </row>
    <row r="18" spans="1:14" ht="12.75">
      <c r="A18" s="5"/>
      <c r="B18" s="96" t="s">
        <v>128</v>
      </c>
      <c r="C18" s="4">
        <f>10*'Bisnis Plan'!E12</f>
        <v>240000</v>
      </c>
      <c r="D18" s="4">
        <f>20*'Bisnis Plan'!E12</f>
        <v>480000</v>
      </c>
      <c r="E18" s="4">
        <f>30*'Bisnis Plan'!E12</f>
        <v>720000</v>
      </c>
      <c r="F18" s="4">
        <f>40*'Bisnis Plan'!E12</f>
        <v>960000</v>
      </c>
      <c r="G18" s="4">
        <f>50*'Bisnis Plan'!E12</f>
        <v>1200000</v>
      </c>
      <c r="H18" s="4">
        <f>60*'Bisnis Plan'!E12</f>
        <v>1440000</v>
      </c>
      <c r="I18" s="4">
        <f>70*'Bisnis Plan'!E12</f>
        <v>1680000</v>
      </c>
      <c r="J18" s="4">
        <f>80*'Bisnis Plan'!E12</f>
        <v>1920000</v>
      </c>
      <c r="K18" s="4">
        <f>90*'Bisnis Plan'!E12</f>
        <v>2160000</v>
      </c>
      <c r="L18" s="4">
        <f>100*'Bisnis Plan'!E12</f>
        <v>2400000</v>
      </c>
      <c r="M18" s="4">
        <f>110*'Bisnis Plan'!E12</f>
        <v>2640000</v>
      </c>
      <c r="N18" s="4">
        <f>120*'Bisnis Plan'!E12</f>
        <v>2880000</v>
      </c>
    </row>
    <row r="19" spans="1:14" ht="33.75">
      <c r="A19" s="5"/>
      <c r="B19" s="97" t="s">
        <v>129</v>
      </c>
      <c r="C19" s="4">
        <f>20*'Bisnis Plan'!E13</f>
        <v>10000000</v>
      </c>
      <c r="D19" s="4">
        <f>20*'Bisnis Plan'!E13</f>
        <v>10000000</v>
      </c>
      <c r="E19" s="4">
        <f>20*'Bisnis Plan'!E13</f>
        <v>10000000</v>
      </c>
      <c r="F19" s="4">
        <f>20*'Bisnis Plan'!E13</f>
        <v>10000000</v>
      </c>
      <c r="G19" s="4">
        <f>20*'Bisnis Plan'!E13</f>
        <v>10000000</v>
      </c>
      <c r="H19" s="4">
        <f>20*'Bisnis Plan'!E13</f>
        <v>10000000</v>
      </c>
      <c r="I19" s="4">
        <f>30*'Bisnis Plan'!E13</f>
        <v>15000000</v>
      </c>
      <c r="J19" s="4">
        <f>30*'Bisnis Plan'!E13</f>
        <v>15000000</v>
      </c>
      <c r="K19" s="4">
        <f>30*'Bisnis Plan'!E13</f>
        <v>15000000</v>
      </c>
      <c r="L19" s="4">
        <f>30*'Bisnis Plan'!E13</f>
        <v>15000000</v>
      </c>
      <c r="M19" s="4">
        <f>30*'Bisnis Plan'!E13</f>
        <v>15000000</v>
      </c>
      <c r="N19" s="4">
        <f>30*'Bisnis Plan'!E13</f>
        <v>15000000</v>
      </c>
    </row>
    <row r="20" spans="1:14" ht="12.75">
      <c r="A20" s="5"/>
      <c r="B20" s="96" t="s">
        <v>130</v>
      </c>
      <c r="C20" s="4">
        <f>15*'Bisnis Plan'!E14</f>
        <v>15000000</v>
      </c>
      <c r="D20" s="4">
        <f>15*'Bisnis Plan'!E14</f>
        <v>15000000</v>
      </c>
      <c r="E20" s="4">
        <f>15*'Bisnis Plan'!E14</f>
        <v>15000000</v>
      </c>
      <c r="F20" s="4">
        <f>20*'Bisnis Plan'!E14</f>
        <v>20000000</v>
      </c>
      <c r="G20" s="4">
        <f>20*'Bisnis Plan'!E14</f>
        <v>20000000</v>
      </c>
      <c r="H20" s="4">
        <f>20*'Bisnis Plan'!E14</f>
        <v>20000000</v>
      </c>
      <c r="I20" s="4">
        <f>20*'Bisnis Plan'!E14</f>
        <v>20000000</v>
      </c>
      <c r="J20" s="4">
        <f>35*'Bisnis Plan'!E14</f>
        <v>35000000</v>
      </c>
      <c r="K20" s="4">
        <f>15*'Bisnis Plan'!E14</f>
        <v>15000000</v>
      </c>
      <c r="L20" s="4">
        <f>15*'Bisnis Plan'!E14</f>
        <v>15000000</v>
      </c>
      <c r="M20" s="4">
        <f>15*'Bisnis Plan'!E14</f>
        <v>15000000</v>
      </c>
      <c r="N20" s="4">
        <f>35*'Bisnis Plan'!E14</f>
        <v>35000000</v>
      </c>
    </row>
    <row r="21" spans="1:14" ht="22.5">
      <c r="A21" s="5"/>
      <c r="B21" s="97" t="s">
        <v>131</v>
      </c>
      <c r="C21" s="4"/>
      <c r="D21" s="4">
        <f>3*'Bisnis Plan'!E15</f>
        <v>150000000</v>
      </c>
      <c r="E21" s="4"/>
      <c r="F21" s="4"/>
      <c r="G21" s="4">
        <f>3*'Bisnis Plan'!E15</f>
        <v>150000000</v>
      </c>
      <c r="I21" s="4"/>
      <c r="J21" s="4">
        <f>2*'Bisnis Plan'!E15</f>
        <v>100000000</v>
      </c>
      <c r="K21" s="4"/>
      <c r="L21" s="4"/>
      <c r="M21" s="4">
        <f>'Bisnis Plan'!E15</f>
        <v>50000000</v>
      </c>
      <c r="N21" s="4"/>
    </row>
    <row r="22" spans="1:14" ht="12.75">
      <c r="A22" s="5"/>
      <c r="B22" s="5"/>
      <c r="C22" s="4">
        <f>C18+C19+C20-C15</f>
        <v>-55385000</v>
      </c>
      <c r="D22" s="4">
        <f>D18+D19+D20-D16</f>
        <v>-39670000</v>
      </c>
      <c r="E22" s="4">
        <f>E18+E19+E20-E17</f>
        <v>-178505000</v>
      </c>
      <c r="F22" s="4">
        <f>SUM(F18:F21)</f>
        <v>30960000</v>
      </c>
      <c r="G22" s="4">
        <f>SUM(G18:G21)</f>
        <v>181200000</v>
      </c>
      <c r="H22" s="4">
        <f aca="true" t="shared" si="2" ref="H22:N22">SUM(H18:H21)</f>
        <v>31440000</v>
      </c>
      <c r="I22" s="4">
        <f t="shared" si="2"/>
        <v>36680000</v>
      </c>
      <c r="J22" s="4">
        <f t="shared" si="2"/>
        <v>151920000</v>
      </c>
      <c r="K22" s="4">
        <f t="shared" si="2"/>
        <v>32160000</v>
      </c>
      <c r="L22" s="4">
        <f t="shared" si="2"/>
        <v>32400000</v>
      </c>
      <c r="M22" s="4">
        <f t="shared" si="2"/>
        <v>82640000</v>
      </c>
      <c r="N22" s="4">
        <f t="shared" si="2"/>
        <v>52880000</v>
      </c>
    </row>
    <row r="23" spans="1:14" ht="12.75">
      <c r="A23" s="5"/>
      <c r="B23" s="8" t="s">
        <v>138</v>
      </c>
      <c r="C23" s="9">
        <f>0+C22</f>
        <v>-55385000</v>
      </c>
      <c r="D23" s="9">
        <f>C23+D22</f>
        <v>-95055000</v>
      </c>
      <c r="E23" s="9">
        <f>D23+E22</f>
        <v>-273560000</v>
      </c>
      <c r="F23" s="9">
        <f aca="true" t="shared" si="3" ref="F23:N23">E23+F22</f>
        <v>-242600000</v>
      </c>
      <c r="G23" s="9">
        <f t="shared" si="3"/>
        <v>-61400000</v>
      </c>
      <c r="H23" s="9">
        <f t="shared" si="3"/>
        <v>-29960000</v>
      </c>
      <c r="I23" s="9">
        <f t="shared" si="3"/>
        <v>6720000</v>
      </c>
      <c r="J23" s="9">
        <f t="shared" si="3"/>
        <v>158640000</v>
      </c>
      <c r="K23" s="9">
        <f t="shared" si="3"/>
        <v>190800000</v>
      </c>
      <c r="L23" s="9">
        <f t="shared" si="3"/>
        <v>223200000</v>
      </c>
      <c r="M23" s="9">
        <f t="shared" si="3"/>
        <v>305840000</v>
      </c>
      <c r="N23" s="9">
        <f t="shared" si="3"/>
        <v>358720000</v>
      </c>
    </row>
    <row r="24" spans="1:14" ht="12.75">
      <c r="A24" s="5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2" t="s">
        <v>132</v>
      </c>
      <c r="B25" s="93" t="s">
        <v>123</v>
      </c>
      <c r="C25" s="4">
        <f>'Bisnis Plan'!F18+6*'Bisnis Plan'!F20</f>
        <v>6000000</v>
      </c>
      <c r="D25" s="4">
        <f>'Bisnis Plan'!F18+6*'Bisnis Plan'!F20</f>
        <v>6000000</v>
      </c>
      <c r="E25" s="4">
        <f>'Bisnis Plan'!F18+6*'Bisnis Plan'!F20</f>
        <v>6000000</v>
      </c>
      <c r="F25" s="4">
        <f>'Bisnis Plan'!F18+6*'Bisnis Plan'!F20</f>
        <v>6000000</v>
      </c>
      <c r="G25" s="4">
        <f>'Bisnis Plan'!F18+6*'Bisnis Plan'!F20</f>
        <v>6000000</v>
      </c>
      <c r="H25" s="4">
        <f>'Bisnis Plan'!F18+6*'Bisnis Plan'!F20</f>
        <v>6000000</v>
      </c>
      <c r="I25" s="4">
        <f>'Bisnis Plan'!F18+6*'Bisnis Plan'!F20</f>
        <v>6000000</v>
      </c>
      <c r="J25" s="4">
        <f>'Bisnis Plan'!F18+6*'Bisnis Plan'!F20</f>
        <v>6000000</v>
      </c>
      <c r="K25" s="4">
        <f>'Bisnis Plan'!F18+6*'Bisnis Plan'!F20</f>
        <v>6000000</v>
      </c>
      <c r="L25" s="4">
        <f>'Bisnis Plan'!F18+6*'Bisnis Plan'!F20</f>
        <v>6000000</v>
      </c>
      <c r="M25" s="4">
        <f>'Bisnis Plan'!F18+6*'Bisnis Plan'!F20</f>
        <v>6000000</v>
      </c>
      <c r="N25" s="4">
        <f>'Bisnis Plan'!F18+6*'Bisnis Plan'!F20</f>
        <v>6000000</v>
      </c>
    </row>
    <row r="26" spans="2:14" ht="12.75">
      <c r="B26" s="26" t="s">
        <v>133</v>
      </c>
      <c r="C26" s="4">
        <f>'Bisnis Plan'!E18</f>
        <v>2000000</v>
      </c>
      <c r="D26" s="4">
        <f>'Bisnis Plan'!E18</f>
        <v>2000000</v>
      </c>
      <c r="E26" s="4">
        <f>'Bisnis Plan'!E18</f>
        <v>2000000</v>
      </c>
      <c r="F26" s="4">
        <f>'Bisnis Plan'!E18</f>
        <v>2000000</v>
      </c>
      <c r="G26" s="4">
        <f>'Bisnis Plan'!E18</f>
        <v>2000000</v>
      </c>
      <c r="H26" s="4">
        <f>'Bisnis Plan'!E18</f>
        <v>2000000</v>
      </c>
      <c r="I26" s="4">
        <f>'Bisnis Plan'!E18</f>
        <v>2000000</v>
      </c>
      <c r="J26" s="4">
        <f>'Bisnis Plan'!E18</f>
        <v>2000000</v>
      </c>
      <c r="K26" s="4">
        <f>'Bisnis Plan'!E18</f>
        <v>2000000</v>
      </c>
      <c r="L26" s="4">
        <f>'Bisnis Plan'!E18</f>
        <v>2000000</v>
      </c>
      <c r="M26" s="4">
        <f>'Bisnis Plan'!E18</f>
        <v>2000000</v>
      </c>
      <c r="N26" s="4">
        <f>'Bisnis Plan'!E18</f>
        <v>2000000</v>
      </c>
    </row>
    <row r="27" spans="1:14" ht="12.75">
      <c r="A27" s="5"/>
      <c r="B27" s="26" t="s">
        <v>134</v>
      </c>
      <c r="C27" s="4">
        <v>1500000</v>
      </c>
      <c r="D27" s="4">
        <v>1500000</v>
      </c>
      <c r="E27" s="4">
        <v>1500000</v>
      </c>
      <c r="F27" s="4">
        <v>1500000</v>
      </c>
      <c r="G27" s="4">
        <v>1500000</v>
      </c>
      <c r="H27" s="4">
        <v>1500000</v>
      </c>
      <c r="I27" s="4">
        <v>1500000</v>
      </c>
      <c r="J27" s="4">
        <v>1500000</v>
      </c>
      <c r="K27" s="4">
        <v>1500000</v>
      </c>
      <c r="L27" s="4">
        <v>1500000</v>
      </c>
      <c r="M27" s="4">
        <v>1500000</v>
      </c>
      <c r="N27" s="4">
        <v>1500000</v>
      </c>
    </row>
    <row r="28" spans="1:14" ht="12.75">
      <c r="A28" s="5"/>
      <c r="B28" s="26" t="s">
        <v>135</v>
      </c>
      <c r="C28" s="4">
        <f>'Bisnis Plan'!E20*6</f>
        <v>6000000</v>
      </c>
      <c r="D28" s="4">
        <f>'Bisnis Plan'!E20*6</f>
        <v>6000000</v>
      </c>
      <c r="E28" s="4">
        <f>'Bisnis Plan'!E20*6</f>
        <v>6000000</v>
      </c>
      <c r="F28" s="4">
        <f>'Bisnis Plan'!E20*6</f>
        <v>6000000</v>
      </c>
      <c r="G28" s="4">
        <f>'Bisnis Plan'!E20*6</f>
        <v>6000000</v>
      </c>
      <c r="H28" s="4">
        <f>'Bisnis Plan'!E20*6</f>
        <v>6000000</v>
      </c>
      <c r="I28" s="4">
        <f>'Bisnis Plan'!E20*6</f>
        <v>6000000</v>
      </c>
      <c r="J28" s="4">
        <f>'Bisnis Plan'!E20*6</f>
        <v>6000000</v>
      </c>
      <c r="K28" s="4">
        <f>'Bisnis Plan'!E20*6</f>
        <v>6000000</v>
      </c>
      <c r="L28" s="4">
        <f>'Bisnis Plan'!E20*6</f>
        <v>6000000</v>
      </c>
      <c r="M28" s="4">
        <f>'Bisnis Plan'!E20*6</f>
        <v>6000000</v>
      </c>
      <c r="N28" s="4">
        <f>'Bisnis Plan'!E20*6</f>
        <v>6000000</v>
      </c>
    </row>
    <row r="29" spans="1:14" ht="12.75">
      <c r="A29" s="5"/>
      <c r="B29" s="5"/>
      <c r="C29" s="4">
        <f>C26+C27+C28-C25</f>
        <v>3500000</v>
      </c>
      <c r="D29" s="4">
        <f aca="true" t="shared" si="4" ref="D29:N29">D26+D27+D28-D25</f>
        <v>3500000</v>
      </c>
      <c r="E29" s="4">
        <f t="shared" si="4"/>
        <v>3500000</v>
      </c>
      <c r="F29" s="4">
        <f t="shared" si="4"/>
        <v>3500000</v>
      </c>
      <c r="G29" s="4">
        <f t="shared" si="4"/>
        <v>3500000</v>
      </c>
      <c r="H29" s="4">
        <f t="shared" si="4"/>
        <v>3500000</v>
      </c>
      <c r="I29" s="4">
        <f t="shared" si="4"/>
        <v>3500000</v>
      </c>
      <c r="J29" s="4">
        <f t="shared" si="4"/>
        <v>3500000</v>
      </c>
      <c r="K29" s="4">
        <f t="shared" si="4"/>
        <v>3500000</v>
      </c>
      <c r="L29" s="4">
        <f t="shared" si="4"/>
        <v>3500000</v>
      </c>
      <c r="M29" s="4">
        <f t="shared" si="4"/>
        <v>3500000</v>
      </c>
      <c r="N29" s="4">
        <f t="shared" si="4"/>
        <v>3500000</v>
      </c>
    </row>
    <row r="30" spans="1:14" ht="12.75">
      <c r="A30" s="5"/>
      <c r="B30" s="8" t="s">
        <v>138</v>
      </c>
      <c r="C30" s="9">
        <f>C29</f>
        <v>3500000</v>
      </c>
      <c r="D30" s="9">
        <f>C30+D29</f>
        <v>7000000</v>
      </c>
      <c r="E30" s="9">
        <f aca="true" t="shared" si="5" ref="E30:N30">D30+E29</f>
        <v>10500000</v>
      </c>
      <c r="F30" s="9">
        <f t="shared" si="5"/>
        <v>14000000</v>
      </c>
      <c r="G30" s="9">
        <f t="shared" si="5"/>
        <v>17500000</v>
      </c>
      <c r="H30" s="9">
        <f t="shared" si="5"/>
        <v>21000000</v>
      </c>
      <c r="I30" s="9">
        <f t="shared" si="5"/>
        <v>24500000</v>
      </c>
      <c r="J30" s="9">
        <f t="shared" si="5"/>
        <v>28000000</v>
      </c>
      <c r="K30" s="9">
        <f t="shared" si="5"/>
        <v>31500000</v>
      </c>
      <c r="L30" s="9">
        <f t="shared" si="5"/>
        <v>35000000</v>
      </c>
      <c r="M30" s="9">
        <f t="shared" si="5"/>
        <v>38500000</v>
      </c>
      <c r="N30" s="9">
        <f t="shared" si="5"/>
        <v>42000000</v>
      </c>
    </row>
    <row r="32" spans="1:14" ht="12.75">
      <c r="A32" s="99" t="s">
        <v>139</v>
      </c>
      <c r="B32" s="99" t="s">
        <v>138</v>
      </c>
      <c r="C32" s="100">
        <f>C12+C23+C30</f>
        <v>-41410000</v>
      </c>
      <c r="D32" s="100">
        <f aca="true" t="shared" si="6" ref="D32:N32">D12+D23+D30</f>
        <v>-75105000</v>
      </c>
      <c r="E32" s="100">
        <f t="shared" si="6"/>
        <v>-247635000</v>
      </c>
      <c r="F32" s="100">
        <f t="shared" si="6"/>
        <v>-210700000</v>
      </c>
      <c r="G32" s="100">
        <f t="shared" si="6"/>
        <v>-23525000</v>
      </c>
      <c r="H32" s="100">
        <f t="shared" si="6"/>
        <v>13890000</v>
      </c>
      <c r="I32" s="100">
        <f t="shared" si="6"/>
        <v>64545000</v>
      </c>
      <c r="J32" s="100">
        <f t="shared" si="6"/>
        <v>222440000</v>
      </c>
      <c r="K32" s="100">
        <f t="shared" si="6"/>
        <v>260575000</v>
      </c>
      <c r="L32" s="100">
        <f t="shared" si="6"/>
        <v>298950000</v>
      </c>
      <c r="M32" s="100">
        <f t="shared" si="6"/>
        <v>387565000</v>
      </c>
      <c r="N32" s="100">
        <f t="shared" si="6"/>
        <v>446420000</v>
      </c>
    </row>
  </sheetData>
  <mergeCells count="2">
    <mergeCell ref="C3:N3"/>
    <mergeCell ref="A5:A8"/>
  </mergeCells>
  <hyperlinks>
    <hyperlink ref="A15" r:id="rId1" display="www.destinationsolo.com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puskom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sutanto</dc:creator>
  <cp:keywords/>
  <dc:description/>
  <cp:lastModifiedBy>sutanto</cp:lastModifiedBy>
  <cp:lastPrinted>2010-08-20T08:06:36Z</cp:lastPrinted>
  <dcterms:created xsi:type="dcterms:W3CDTF">2010-08-17T03:50:35Z</dcterms:created>
  <dcterms:modified xsi:type="dcterms:W3CDTF">2010-08-21T07:55:31Z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