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9720" activeTab="0"/>
  </bookViews>
  <sheets>
    <sheet name="Rekap" sheetId="1" r:id="rId1"/>
    <sheet name="Renja Magetan" sheetId="2" r:id="rId2"/>
    <sheet name="Renja Ngawi" sheetId="3" r:id="rId3"/>
    <sheet name="Renja Karanganyar" sheetId="4" r:id="rId4"/>
    <sheet name="Renja Sragen" sheetId="5" r:id="rId5"/>
    <sheet name="manag fee" sheetId="6" r:id="rId6"/>
  </sheets>
  <definedNames/>
  <calcPr fullCalcOnLoad="1"/>
</workbook>
</file>

<file path=xl/sharedStrings.xml><?xml version="1.0" encoding="utf-8"?>
<sst xmlns="http://schemas.openxmlformats.org/spreadsheetml/2006/main" count="758" uniqueCount="501">
  <si>
    <t>UNS</t>
  </si>
  <si>
    <t>PEMKAB</t>
  </si>
  <si>
    <t>DIKTI</t>
  </si>
  <si>
    <t>II</t>
  </si>
  <si>
    <t>PROGRAM (ACTIVITY)</t>
  </si>
  <si>
    <t>Merchants</t>
  </si>
  <si>
    <t>FGD site plan kawasan lawu tahun 2012-2013</t>
  </si>
  <si>
    <t>Nutulensi 2012-2013</t>
  </si>
  <si>
    <t>ATK</t>
  </si>
  <si>
    <t>Site visit dari Yayasan Karya Tunas Nusantara, 2012 -2013</t>
  </si>
  <si>
    <t>- Lokal airfares (Jakarta - Surakarta)</t>
  </si>
  <si>
    <t>- Lokal travel (Surakarta - Sragen - Karanganyar)</t>
  </si>
  <si>
    <t>- Lokal acomodation</t>
  </si>
  <si>
    <t>FGD implementation plan regularly domestic promotion</t>
  </si>
  <si>
    <t>FGD implementation plan annually international promotion</t>
  </si>
  <si>
    <t>Notulensi</t>
  </si>
  <si>
    <t>Local travel selama event promosi domestik</t>
  </si>
  <si>
    <t>Lokal acomodation</t>
  </si>
  <si>
    <t>TOTAL 3.2.2</t>
  </si>
  <si>
    <t xml:space="preserve">International airfares 2012 dan 2013 </t>
  </si>
  <si>
    <t xml:space="preserve">Lokal acomodation 2012 dan 2013 </t>
  </si>
  <si>
    <t>- Promosi Berlin (registration fee, stand, insurance, etc)</t>
  </si>
  <si>
    <t>- Promosi Moskow (registration fee, stand, insurance, etc)</t>
  </si>
  <si>
    <t>- Promosi Budapest (registration fee, stand, insurance, etc)</t>
  </si>
  <si>
    <t>- Promosi Gotenborg (registration fee, stand, insurance, etc)</t>
  </si>
  <si>
    <t>- Promosi Singapura (registration fee, stand, insurance, etc)</t>
  </si>
  <si>
    <t>Comunication domestic promotion</t>
  </si>
  <si>
    <t>Comunication international promotion</t>
  </si>
  <si>
    <t>Final Report</t>
  </si>
  <si>
    <t>Communication</t>
  </si>
  <si>
    <t>Design kuisioner</t>
  </si>
  <si>
    <t>Data entry</t>
  </si>
  <si>
    <t>Dokumentasi</t>
  </si>
  <si>
    <t>Surveyor (based on quisioner)</t>
  </si>
  <si>
    <t>Maintenance dan update data SIMPAR Terpadu</t>
  </si>
  <si>
    <t>Analisis data</t>
  </si>
  <si>
    <t>- Team leader</t>
  </si>
  <si>
    <t>- Analist system</t>
  </si>
  <si>
    <t>- Programmer</t>
  </si>
  <si>
    <t>- Databased admin</t>
  </si>
  <si>
    <t>- Operator</t>
  </si>
  <si>
    <t>Lokal akomodasi biro perjalanan wisata Bali dalam implementasi Famtrip</t>
  </si>
  <si>
    <t>TOTAL 3.2.3</t>
  </si>
  <si>
    <t>Dikti</t>
  </si>
  <si>
    <t>- international airfares (Surakarta - Berlin, Maret 2012 dan 2013)</t>
  </si>
  <si>
    <t>- international airfares (Surakarta - Moskow, Maret 2012 dan 2013)</t>
  </si>
  <si>
    <t>- international airfares (Surakarta - Budapest, April 2012 dan 2013)</t>
  </si>
  <si>
    <t>- international airfares (Surakarta - Gothenborg, Maret 2012 dan 2013)</t>
  </si>
  <si>
    <t>- international airfares (Surakarta - Singapura, Oktober 2012 dan 2013)</t>
  </si>
  <si>
    <t>TOTAL 2.3.1</t>
  </si>
  <si>
    <t>TOTAL 2.3.2</t>
  </si>
  <si>
    <t>TOTAL 2.3.3</t>
  </si>
  <si>
    <t>Lokal akomodasi biro perjalanan wisata dalam implementasi pengelolaan homestay</t>
  </si>
  <si>
    <t xml:space="preserve">Renovasi kelayakan homestay </t>
  </si>
  <si>
    <t>Training pengelolaan homestay dan peningkatan masyarakat sadar wisata</t>
  </si>
  <si>
    <t>- Seminar KIT</t>
  </si>
  <si>
    <t>- Praktisi pariwisata (PT. Piranti Media Komunika)</t>
  </si>
  <si>
    <t>Training kepribadian dan etika pemandu wisata</t>
  </si>
  <si>
    <t xml:space="preserve">- Praktisi Pariwisata </t>
  </si>
  <si>
    <t>Penataran bahasa asing bagi pemandu wisataa lokal</t>
  </si>
  <si>
    <t>- Praktisi Bahasa Asing</t>
  </si>
  <si>
    <t>- Seminar KIT (include modul)</t>
  </si>
  <si>
    <t>Pembuatan Schedule Pemetaan Keunikan Lokal</t>
  </si>
  <si>
    <t>Nutulensi</t>
  </si>
  <si>
    <t>Tim Survei (Surveyor) dan Tim Wawancara</t>
  </si>
  <si>
    <t>FGD berkaitan dengan Pemetaan Keunikan Lokal</t>
  </si>
  <si>
    <t>Tim Pengamatan Tim People's Expressions, dan Tim Case Studies</t>
  </si>
  <si>
    <t>Transportation</t>
  </si>
  <si>
    <t>- Tim Survei (Surveyor)</t>
  </si>
  <si>
    <t>- Tim Wawancara</t>
  </si>
  <si>
    <t>- Tim Pengamatan</t>
  </si>
  <si>
    <t>- Tim People's Expression</t>
  </si>
  <si>
    <t>- Tim Cases Studies</t>
  </si>
  <si>
    <t>TOTAL 2.1.1</t>
  </si>
  <si>
    <t xml:space="preserve">Pembuatan Schedule tentang Penentuan Potensi Strategis </t>
  </si>
  <si>
    <t>FGD Penentuan Potensi Strategis sebagai Prioritas Unggulan Wisata Daerah</t>
  </si>
  <si>
    <t>Studi Kelayakan</t>
  </si>
  <si>
    <t>Transportation selama Studi Kelayakan</t>
  </si>
  <si>
    <t>Comunication</t>
  </si>
  <si>
    <t>TOTAL 2.1.2</t>
  </si>
  <si>
    <t>Praktisi Pariwisata</t>
  </si>
  <si>
    <t>Studi Banding</t>
  </si>
  <si>
    <t>Pengurusan dan Pendaftaran HAKI objek wisata 4 kabupaten</t>
  </si>
  <si>
    <t>Pelatihan Pemandu Wisata</t>
  </si>
  <si>
    <t>- Pelatih Pemandu Wisata</t>
  </si>
  <si>
    <t>- Merchants</t>
  </si>
  <si>
    <t>Acomodation selama Studi Banding</t>
  </si>
  <si>
    <t>Transportation selama Studi Banding</t>
  </si>
  <si>
    <t>TOTAL 2.1.3</t>
  </si>
  <si>
    <t>3.2.1 Penguatan SIMPAR</t>
  </si>
  <si>
    <t>3.2.2 Promosi Paket Wisata</t>
  </si>
  <si>
    <t>3.2.3 Maintenance dan Updating Data Promosi</t>
  </si>
  <si>
    <t>3.1.1 Collecting Data dan Informasi dari Program I dan II</t>
  </si>
  <si>
    <t>1. Belanja Langsung</t>
  </si>
  <si>
    <t>2. Belanja Tidak Langsung</t>
  </si>
  <si>
    <t xml:space="preserve">   a. Honorarium Tim Pelaksana (Survey, Pemetaan, Pengamatan, Studi Kasus)  </t>
  </si>
  <si>
    <t xml:space="preserve">   b. Sewa Tempat  kegiatan/lokasi</t>
  </si>
  <si>
    <t xml:space="preserve">   c. Biaya Telekomunikasi </t>
  </si>
  <si>
    <t xml:space="preserve">   d. FGD</t>
  </si>
  <si>
    <t xml:space="preserve">      b. ATK</t>
  </si>
  <si>
    <t xml:space="preserve">   c. Pengadaan Alat Video + camcoder + camera</t>
  </si>
  <si>
    <t>3.1.2 Perancangan Desain Management Database Program I dan II</t>
  </si>
  <si>
    <t xml:space="preserve">3.1.3 Training kepada stakeholders pariwisata meliputi : Pengenalan sistem,  inputing data dan implementasi aplikasi/sistem </t>
  </si>
  <si>
    <t>3.1.4 Sikronisasi Sitem Informasi Management destination dengan sistem informasi komoditas</t>
  </si>
  <si>
    <t xml:space="preserve">3.1.5 Penguatan kerjasama antara UNS, PT Java Pavillion, Dinas terkait di Pemerintah Kabupaten berupa penyusunan MOU dan Standart Operasional Procedure </t>
  </si>
  <si>
    <t xml:space="preserve">   e. Entri Data</t>
  </si>
  <si>
    <t xml:space="preserve">   a. Konsumsi</t>
  </si>
  <si>
    <t xml:space="preserve">   b. ATK</t>
  </si>
  <si>
    <t xml:space="preserve">   d. Final Report</t>
  </si>
  <si>
    <t xml:space="preserve">    a. Honorarium PIC Pelaksana </t>
  </si>
  <si>
    <t xml:space="preserve">    b. Data Analis</t>
  </si>
  <si>
    <t xml:space="preserve">    c. Biaya Telekomunikasi </t>
  </si>
  <si>
    <t xml:space="preserve">    d. Database Management</t>
  </si>
  <si>
    <t xml:space="preserve">         - Analist system</t>
  </si>
  <si>
    <t xml:space="preserve">         - Programmer</t>
  </si>
  <si>
    <t xml:space="preserve">         - Operator</t>
  </si>
  <si>
    <t xml:space="preserve">         - Database admin</t>
  </si>
  <si>
    <t xml:space="preserve">         - Team leader</t>
  </si>
  <si>
    <t xml:space="preserve">      c. Pengadaan Laptop</t>
  </si>
  <si>
    <t xml:space="preserve">      d. Final Report</t>
  </si>
  <si>
    <t xml:space="preserve">       a. Konsumsi</t>
  </si>
  <si>
    <t xml:space="preserve">      a. Konsumsi</t>
  </si>
  <si>
    <t xml:space="preserve">      a. Honorarium Tim Pelaksana (Trainer)</t>
  </si>
  <si>
    <t xml:space="preserve">      b. Sewa Tempat  kegiatan/lokasi</t>
  </si>
  <si>
    <t xml:space="preserve">      c. Biaya Telekomunikasi </t>
  </si>
  <si>
    <t xml:space="preserve">        b. ATK</t>
  </si>
  <si>
    <t xml:space="preserve">       c. Pengadaan Laptop</t>
  </si>
  <si>
    <t xml:space="preserve">       b. ATK</t>
  </si>
  <si>
    <t xml:space="preserve">       d. Final Report</t>
  </si>
  <si>
    <t xml:space="preserve">       a. Honorarium PIC Pelaksana </t>
  </si>
  <si>
    <t xml:space="preserve">       b. Data Analis</t>
  </si>
  <si>
    <t xml:space="preserve">       d. Database Management</t>
  </si>
  <si>
    <t xml:space="preserve">       c. Biaya Telekomunikasi </t>
  </si>
  <si>
    <t xml:space="preserve">           - Analist system</t>
  </si>
  <si>
    <t xml:space="preserve">           - Database admin</t>
  </si>
  <si>
    <t xml:space="preserve">           - Operator</t>
  </si>
  <si>
    <t xml:space="preserve">           - Programmer</t>
  </si>
  <si>
    <t xml:space="preserve">           - Team leader</t>
  </si>
  <si>
    <t xml:space="preserve">       b. Sewa Tempat  kegiatan/lokasi</t>
  </si>
  <si>
    <t xml:space="preserve">       d. FGD</t>
  </si>
  <si>
    <t xml:space="preserve">       a. Honorarium Tim Pelaksana </t>
  </si>
  <si>
    <t xml:space="preserve">        a. Konsumsi</t>
  </si>
  <si>
    <t>TOTAL 3.1.1</t>
  </si>
  <si>
    <t>TOTAL 3.1.2</t>
  </si>
  <si>
    <t>TOTAL 3.1.3</t>
  </si>
  <si>
    <t>TOTAL 3.1.4</t>
  </si>
  <si>
    <t>TOTAL 3.1.5</t>
  </si>
  <si>
    <t>TOTAL3.2.1</t>
  </si>
  <si>
    <t>REKAP ANGGARAN PHKI C</t>
  </si>
  <si>
    <t>a.  Honor</t>
  </si>
  <si>
    <t xml:space="preserve">     surveyor</t>
  </si>
  <si>
    <t xml:space="preserve">     entry data (operator)</t>
  </si>
  <si>
    <t xml:space="preserve">     fotografer dan editor</t>
  </si>
  <si>
    <t>b. Transportasi</t>
  </si>
  <si>
    <t>c.  Konsumsi</t>
  </si>
  <si>
    <t>d. ATK</t>
  </si>
  <si>
    <t xml:space="preserve">      Panitia Pengadaan (UNS + PemKab)</t>
  </si>
  <si>
    <t xml:space="preserve">      Tamu Undangan (masyarakat)</t>
  </si>
  <si>
    <t>TOTAL 1.1</t>
  </si>
  <si>
    <t>TOTAL 1.2</t>
  </si>
  <si>
    <t xml:space="preserve">      Tamu Undangan dan masyarakat</t>
  </si>
  <si>
    <t>e. Fasilitas lain</t>
  </si>
  <si>
    <t xml:space="preserve">    Souvenir (tamu undangan)</t>
  </si>
  <si>
    <r>
      <rPr>
        <i/>
        <sz val="10"/>
        <color indexed="8"/>
        <rFont val="Arial"/>
        <family val="2"/>
      </rPr>
      <t>Site Observation</t>
    </r>
    <r>
      <rPr>
        <sz val="10"/>
        <color indexed="8"/>
        <rFont val="Arial"/>
        <family val="2"/>
      </rPr>
      <t xml:space="preserve"> (collecting data)</t>
    </r>
  </si>
  <si>
    <r>
      <t xml:space="preserve">Focus Group Discussion (FDG) tentang Penyusunan </t>
    </r>
    <r>
      <rPr>
        <i/>
        <sz val="10"/>
        <color indexed="8"/>
        <rFont val="Arial"/>
        <family val="2"/>
      </rPr>
      <t>Site Plan</t>
    </r>
  </si>
  <si>
    <r>
      <t xml:space="preserve">Penyusunan </t>
    </r>
    <r>
      <rPr>
        <i/>
        <sz val="10"/>
        <color indexed="8"/>
        <rFont val="Arial"/>
        <family val="2"/>
      </rPr>
      <t>Site Plan</t>
    </r>
  </si>
  <si>
    <t>Pembelian Alat laboratorium D3 UPW</t>
  </si>
  <si>
    <t xml:space="preserve">        e. Bandwidth 1 Mbps/bln x 3thn </t>
  </si>
  <si>
    <t xml:space="preserve">        f. Server</t>
  </si>
  <si>
    <t>Laptop</t>
  </si>
  <si>
    <t>KRA</t>
  </si>
  <si>
    <t>SRG</t>
  </si>
  <si>
    <t>MGT</t>
  </si>
  <si>
    <t>NGW</t>
  </si>
  <si>
    <t>TAHUN 2012</t>
  </si>
  <si>
    <t>TAHUN 2013</t>
  </si>
  <si>
    <t>TAHUN 2011</t>
  </si>
  <si>
    <t>Koordinasi dengan sektor pendukung pariwisata (dgn stakeholder)</t>
  </si>
  <si>
    <t xml:space="preserve">       f. Narasumber FGD</t>
  </si>
  <si>
    <t xml:space="preserve">       g. Tenaga Ahli </t>
  </si>
  <si>
    <t xml:space="preserve">        c. Final Report </t>
  </si>
  <si>
    <t xml:space="preserve">       h. Dokumentasi dan penggadaan SOP dan MOU </t>
  </si>
  <si>
    <t>Pelindung</t>
  </si>
  <si>
    <t>Penasehat</t>
  </si>
  <si>
    <t>Ketua</t>
  </si>
  <si>
    <t>PIC</t>
  </si>
  <si>
    <t>Sekretaris</t>
  </si>
  <si>
    <t>Bendahara</t>
  </si>
  <si>
    <t>Staf</t>
  </si>
  <si>
    <t>staf</t>
  </si>
  <si>
    <t>Rektor</t>
  </si>
  <si>
    <t>PR 1</t>
  </si>
  <si>
    <t>PR2</t>
  </si>
  <si>
    <t>PR4</t>
  </si>
  <si>
    <t>Samanhudi</t>
  </si>
  <si>
    <t>Suratman</t>
  </si>
  <si>
    <t>Amik</t>
  </si>
  <si>
    <t>Jatu</t>
  </si>
  <si>
    <t>Sutikno</t>
  </si>
  <si>
    <t>Gesti</t>
  </si>
  <si>
    <t>Rara</t>
  </si>
  <si>
    <t>Koordinator Program 2</t>
  </si>
  <si>
    <t>Koordinator Program 1</t>
  </si>
  <si>
    <t>Koordinator Program 3</t>
  </si>
  <si>
    <t>Pembantu Pelaksana</t>
  </si>
  <si>
    <t>Slamet Supriyadi</t>
  </si>
  <si>
    <t>Sutanto</t>
  </si>
  <si>
    <t>HR</t>
  </si>
  <si>
    <t>Transport</t>
  </si>
  <si>
    <t>Pelaksana Unit</t>
  </si>
  <si>
    <t>Kesekretariatan</t>
  </si>
  <si>
    <t xml:space="preserve">                TOTAL 3.2</t>
  </si>
  <si>
    <t xml:space="preserve">                 TOTAL 3.1</t>
  </si>
  <si>
    <t xml:space="preserve">    TOTAL 1</t>
  </si>
  <si>
    <t>T O T A L  3</t>
  </si>
  <si>
    <t xml:space="preserve">T O T A L  </t>
  </si>
  <si>
    <t>III.2 Activity 2</t>
  </si>
  <si>
    <t>TOTAL 2.1</t>
  </si>
  <si>
    <t>Karanganyar</t>
  </si>
  <si>
    <t>Pembelian benih</t>
  </si>
  <si>
    <t>Honor Konsultan : stevia &amp; market</t>
  </si>
  <si>
    <t>Pupuk</t>
  </si>
  <si>
    <t>Upah pemeliharaan</t>
  </si>
  <si>
    <t>Pengeringan</t>
  </si>
  <si>
    <t>Kab. Karanganyar</t>
  </si>
  <si>
    <t>Pembuatan kolam</t>
  </si>
  <si>
    <t>Pakan</t>
  </si>
  <si>
    <t>Pemeriksaan Laboratorium atas kandungan air</t>
  </si>
  <si>
    <t>Pembelian Botol dan asesoris</t>
  </si>
  <si>
    <t>Pembelian Mesin saring ROW</t>
  </si>
  <si>
    <t>Instalasi alat dan training</t>
  </si>
  <si>
    <t>Pengumpulan database komoditas holtikultura</t>
  </si>
  <si>
    <t>Pemasaran komoditas melalui www.javaagro.com</t>
  </si>
  <si>
    <t>Pertemuan Petani dengan buyer</t>
  </si>
  <si>
    <t>Sewa lahan</t>
  </si>
  <si>
    <t>Renovasi Ruang menjadi Mall Komoditas</t>
  </si>
  <si>
    <t>Pertemuan pembentukan KPWD</t>
  </si>
  <si>
    <t>Training peningkatan masyarakat sadar wisata</t>
  </si>
  <si>
    <t>Sragen</t>
  </si>
  <si>
    <t>Magetan</t>
  </si>
  <si>
    <t>Ngawi</t>
  </si>
  <si>
    <t xml:space="preserve">   1.1 Pembuatan Rencana Tapak (Site Plan) Kawasan Wisata Karanganyar dan Ngawi</t>
  </si>
  <si>
    <t>PROGRAM 1</t>
  </si>
  <si>
    <r>
      <t xml:space="preserve">   1.2 Penyusunan </t>
    </r>
    <r>
      <rPr>
        <b/>
        <i/>
        <sz val="10"/>
        <rFont val="Arial"/>
        <family val="2"/>
      </rPr>
      <t>Detailed Engineering Design</t>
    </r>
    <r>
      <rPr>
        <b/>
        <sz val="10"/>
        <rFont val="Arial"/>
        <family val="2"/>
      </rPr>
      <t xml:space="preserve"> (DED) Daya tarik Wisata Magetan/Karanganyar/ngawi</t>
    </r>
  </si>
  <si>
    <t>PROGRAM 2</t>
  </si>
  <si>
    <t xml:space="preserve">   2.1 Activity 1 </t>
  </si>
  <si>
    <t xml:space="preserve">       2.1.1 Pengembangan Pariwisata Budaya Berbasis Potensi Keunikan Lokal di Karanganyar, Ngawi, dan Magetan</t>
  </si>
  <si>
    <t xml:space="preserve">       2.1.2 Penentuan Potensi Strategis Sebagai Prioritas Unggulan Wisata</t>
  </si>
  <si>
    <t xml:space="preserve">       2.1.3 Pengembangan Masing-Masing Prioritas Unggulan Wisata</t>
  </si>
  <si>
    <t xml:space="preserve">   2.2 Activity 2</t>
  </si>
  <si>
    <t xml:space="preserve">       2.2.1 Pengembangan Agrowisata Berbasis Tanaman Holtikultura, Biofarmaka dan Unggulan Lokal</t>
  </si>
  <si>
    <t xml:space="preserve">      2.2.1.1 Pengembangan Budidaya Stevia Rebaudiana</t>
  </si>
  <si>
    <t xml:space="preserve">   2.3 Activity 3</t>
  </si>
  <si>
    <t xml:space="preserve">      2.3.1 Pemetaan Potensi Desa </t>
  </si>
  <si>
    <t xml:space="preserve">      2.3.2 Pengelolaan Homestay</t>
  </si>
  <si>
    <t xml:space="preserve">      2.3.3 Pelatihan Pemandu Wisata</t>
  </si>
  <si>
    <t xml:space="preserve">                                   TOTAL 2.3</t>
  </si>
  <si>
    <t xml:space="preserve">   TOTAL 2</t>
  </si>
  <si>
    <t xml:space="preserve">                                  TOTAL 2.2.1</t>
  </si>
  <si>
    <t xml:space="preserve">           TOTAL 2.2</t>
  </si>
  <si>
    <t>Training dan konsultasi perikanan &amp; market</t>
  </si>
  <si>
    <t>Pembuatan asesoris manajemen agrowisata</t>
  </si>
  <si>
    <t>Focus Group Discussion (FDG) tentang Penyusunan Rencana Tapak Kawasan Pablengan</t>
  </si>
  <si>
    <t xml:space="preserve">Focus Group Discussion (FDG) tentang Penyusunan Rencana Tapak Kawasan Agrowisata </t>
  </si>
  <si>
    <t>Focus Group Discussion (FDG) tentang Penyusunan Site Plan Kawasan Tawun</t>
  </si>
  <si>
    <t>Focus Group Discussion (FDG) tentang Penyusunan DED Kawasan Tawun</t>
  </si>
  <si>
    <t>Penyusunan DED Kawasan Tawun</t>
  </si>
  <si>
    <t>Focus Group Discussion (FDG) tentang Penyusunan DED Kampung Purba Dayu dan Magetan</t>
  </si>
  <si>
    <t xml:space="preserve">PROGRAM 3 </t>
  </si>
  <si>
    <t>3.1 Activity 1</t>
  </si>
  <si>
    <t>Program</t>
  </si>
  <si>
    <t>Aktivitas</t>
  </si>
  <si>
    <t>Tahun I</t>
  </si>
  <si>
    <t>Tahun II</t>
  </si>
  <si>
    <t>Tahun III</t>
  </si>
  <si>
    <t>Focus Group Discussion (FDG) tentang Penyusunan DED</t>
  </si>
  <si>
    <t>Penyusunan DED</t>
  </si>
  <si>
    <t>Penyusunan DED Kampung Purba Dayu dan Magetan</t>
  </si>
  <si>
    <t xml:space="preserve">           - operator Magetan</t>
  </si>
  <si>
    <t>Capture dan editing foto objek wisata baru di kabupaten Magetan</t>
  </si>
  <si>
    <t>PROGRAM I :</t>
  </si>
  <si>
    <t>: Pengembanagn Pariwisata Daerah Berbasis Model CBT (Community Based Tourism)</t>
  </si>
  <si>
    <t>NO</t>
  </si>
  <si>
    <t>DINAS/INSTANSI</t>
  </si>
  <si>
    <t>PROG</t>
  </si>
  <si>
    <t>AKTIVITAS</t>
  </si>
  <si>
    <t>NAMA KEGIATAN</t>
  </si>
  <si>
    <t>TAHUN ANGGARAN</t>
  </si>
  <si>
    <t>KET</t>
  </si>
  <si>
    <t xml:space="preserve">Dinas Pemuda, Olah Raga, </t>
  </si>
  <si>
    <t xml:space="preserve"> I</t>
  </si>
  <si>
    <t>Penyusunan Detailed Engineering Design (DED)</t>
  </si>
  <si>
    <t>Kebudayaan dan Pariwisata</t>
  </si>
  <si>
    <t>Kawasan Wisata Tawun</t>
  </si>
  <si>
    <t xml:space="preserve">PROGRAM II </t>
  </si>
  <si>
    <t xml:space="preserve">: Pengembangan Pariwisata Minat Khusus (Special Interest Tourism) </t>
  </si>
  <si>
    <t>Dinas Pemuda, Olah Raga,</t>
  </si>
  <si>
    <t xml:space="preserve">Pengembangan SDM Bidang Kebudayaan dan </t>
  </si>
  <si>
    <t>Kebudayaan &amp; Pariwisata</t>
  </si>
  <si>
    <t>Pariwisata bekerjasama dengan lembaga lainnya</t>
  </si>
  <si>
    <t>Pembinaan Kelompok Sadar Wisata (Pokdarwis)</t>
  </si>
  <si>
    <t>Pokdarwis Jamus</t>
  </si>
  <si>
    <t>Fasilitasi penyelenggaraan festival budaya daerah</t>
  </si>
  <si>
    <t>Pengembangan kesenian dan kebudayaan daerah</t>
  </si>
  <si>
    <t xml:space="preserve">Pelestarian dan aktualisasi adat dan budaya </t>
  </si>
  <si>
    <t>daerah</t>
  </si>
  <si>
    <t>Penyusunan Rencana Tapak Kawasan</t>
  </si>
  <si>
    <t>(Site Plan) Kawasan Wisata Tawun</t>
  </si>
  <si>
    <t>BAPPEDA</t>
  </si>
  <si>
    <t xml:space="preserve">Penyusunan perencanaan pengembangan </t>
  </si>
  <si>
    <t>Kawasan Agropolitan</t>
  </si>
  <si>
    <t xml:space="preserve">ekonomi (Penyusunan Prospektus Bisnis </t>
  </si>
  <si>
    <t>Jamus</t>
  </si>
  <si>
    <t>Agrowisata di Kawasan Agropolitan)</t>
  </si>
  <si>
    <t>Koordinasi perencanaan pembangunan bidang</t>
  </si>
  <si>
    <t>ekonomi (Bidang Pengembangan Pariwisata)</t>
  </si>
  <si>
    <t>Badan Ketahanan Pangan dan</t>
  </si>
  <si>
    <t xml:space="preserve">Peningkatan produksi, produktivitas dan mutu </t>
  </si>
  <si>
    <t>Penyuluhan Pertanian,</t>
  </si>
  <si>
    <t>produk perkebunan, produk pertanian</t>
  </si>
  <si>
    <t>Perikanan dan Kehutanan</t>
  </si>
  <si>
    <t>(Agropolitan)</t>
  </si>
  <si>
    <t>Kantor Lingkungan Hidup</t>
  </si>
  <si>
    <t>Pengembangan data dan informasi lingkungan</t>
  </si>
  <si>
    <t>Pariwisata Jamus</t>
  </si>
  <si>
    <t xml:space="preserve">Dinas Perikanan dan </t>
  </si>
  <si>
    <t>1. Pengembangan Agribisnis peternakan</t>
  </si>
  <si>
    <t xml:space="preserve">    (Sapi dan kambing) perah</t>
  </si>
  <si>
    <t>2. Pengembangan bibit ikan unggul</t>
  </si>
  <si>
    <t>Dinas Koperasi, UMKM dan</t>
  </si>
  <si>
    <t>Pengembangan Industri Makanan</t>
  </si>
  <si>
    <t>Perindustrian</t>
  </si>
  <si>
    <t>(untuk mendukung pengembangan pariwisata)</t>
  </si>
  <si>
    <t xml:space="preserve">Badan Pemberdayaan </t>
  </si>
  <si>
    <t>Bimbingan manajemen usaha bagi perempuan</t>
  </si>
  <si>
    <t>pembuatan kue kering</t>
  </si>
  <si>
    <t>Perempuan &amp; Keluarga</t>
  </si>
  <si>
    <t>dalam mengelola usaha</t>
  </si>
  <si>
    <t xml:space="preserve">bra kain perca, </t>
  </si>
  <si>
    <t>Berencana</t>
  </si>
  <si>
    <t>anyaman tas plastik</t>
  </si>
  <si>
    <t>(Bid. Pemb. Perempuan)</t>
  </si>
  <si>
    <t xml:space="preserve">Dinas Kehutanan &amp; </t>
  </si>
  <si>
    <t>Pemeliharaan Kawasan Hutan Industri dan</t>
  </si>
  <si>
    <t>Perkebunan</t>
  </si>
  <si>
    <t>Hutan Wisata</t>
  </si>
  <si>
    <t xml:space="preserve">Dinas Pertanian Tanaman </t>
  </si>
  <si>
    <t>Pengembangan kawasan Agropolitan</t>
  </si>
  <si>
    <t xml:space="preserve"> -</t>
  </si>
  <si>
    <t>Pangan dan Hortukultura</t>
  </si>
  <si>
    <t xml:space="preserve">PROGRAM III </t>
  </si>
  <si>
    <t xml:space="preserve">: Pengembangan Sistim Informasi dan Promosi Pariwisata Berbasis Model Integrated ICT  </t>
  </si>
  <si>
    <t>Promosi atas hasil produksi pertanian /</t>
  </si>
  <si>
    <t>pangan dan hortikultura</t>
  </si>
  <si>
    <t xml:space="preserve">    Perkebunan Unggulan Daerah </t>
  </si>
  <si>
    <t>untuk mendukung pariwisata</t>
  </si>
  <si>
    <t>Visit International Student UNS ke Ngawi</t>
  </si>
  <si>
    <t>DINAS TERKAIT</t>
  </si>
  <si>
    <t>KEGIATAN</t>
  </si>
  <si>
    <t>KELUARAN</t>
  </si>
  <si>
    <t>ANGGARAN</t>
  </si>
  <si>
    <t>Penyusuunan Site Plan Pablengan</t>
  </si>
  <si>
    <t xml:space="preserve">Tersusunnya rencana tapak wilayah Pablengan </t>
  </si>
  <si>
    <t>Penataan Kawasan Dayu : Kampung Purba</t>
  </si>
  <si>
    <t>Tersedianya informasi kelayakan pengembangan ODTW</t>
  </si>
  <si>
    <t>SUB TOTAL BAPPEDA</t>
  </si>
  <si>
    <t>PERTANIAN</t>
  </si>
  <si>
    <t>Pengembangan tanaman pangan dan hortikultura *)</t>
  </si>
  <si>
    <t xml:space="preserve">Terlaksananya demplot budidaya tanaman pangan dan </t>
  </si>
  <si>
    <t>Pengembangan Hortikultura</t>
  </si>
  <si>
    <t>Perbanyakan bibit tanaman hortikultura unggulan</t>
  </si>
  <si>
    <t>Pengembangan Agribisnis Apel</t>
  </si>
  <si>
    <t>Tersedianya bibit apel, Tersedianya alsin (pompa air dan hand sprayer, Tersedianya pupuk dan obat-obatan</t>
  </si>
  <si>
    <t>Pengembangan Tanaman Perkebunan *)</t>
  </si>
  <si>
    <t>Tersedianya bibit cengkeh, tembakau, Tersedianya pupuk dan obat-obatan, Terselenggaranya pertemuan kelompok tani</t>
  </si>
  <si>
    <t>Pengembangan Bibit Unggul Pertanian dan Perkebunan *)</t>
  </si>
  <si>
    <t>Pembuatan Demplot</t>
  </si>
  <si>
    <t>SUB TOTAL DIPERTAN</t>
  </si>
  <si>
    <t>DISNAKKAN</t>
  </si>
  <si>
    <t>Pengembangan Budidaya dan Pelestarian Sumber Hayati Perikanan</t>
  </si>
  <si>
    <t>penebaran benih; pelatihan</t>
  </si>
  <si>
    <t>Budidaya Perikanan Perairan Umum (Waduk)</t>
  </si>
  <si>
    <t>penebaran benih; sarana dan prasarana</t>
  </si>
  <si>
    <t>SUB TOTAL DISNAKKAN</t>
  </si>
  <si>
    <t>DISPARBUD</t>
  </si>
  <si>
    <t xml:space="preserve">Pelaksanaan Promosi Pariwisata Nusantara </t>
  </si>
  <si>
    <t>di dalam dan di luar daerah</t>
  </si>
  <si>
    <t>Pelatihan pemandu wisata terpadu</t>
  </si>
  <si>
    <t>Terwujudnya pemandu wisata yang kompeten (25 org)</t>
  </si>
  <si>
    <t>Penyediaan sarana promosi dan informasi kepariwisataan</t>
  </si>
  <si>
    <t>Tersedianya sarana promosi dan informasi Pariwisata ( 2 unit)</t>
  </si>
  <si>
    <t>Penyediaan Materi promosi pariwisata</t>
  </si>
  <si>
    <t>terwujudnya Pelayanan Informasi Pariwisata (CD, Kalende, brosur)</t>
  </si>
  <si>
    <t xml:space="preserve"> Pengadaan peralatan seni Reog</t>
  </si>
  <si>
    <t>terwujudnya peningkatan kesenian (6 unit)</t>
  </si>
  <si>
    <t xml:space="preserve"> Pengadaan peralatan seni Karawitan</t>
  </si>
  <si>
    <t>terwujudnya peningkatan kesenian (10 desa)</t>
  </si>
  <si>
    <t>Pengadan peralatan seni Campur sari</t>
  </si>
  <si>
    <t>terwujudnya peningkatan kesenian (2 unit)</t>
  </si>
  <si>
    <t>Pengembangan jenis dan paket wisata unggulan</t>
  </si>
  <si>
    <t>Terlaksananya pembinaan pengusaha hotel (80 orang)</t>
  </si>
  <si>
    <t>Pengembangan daerah tujuan wisata</t>
  </si>
  <si>
    <t>Terwujudnya peningkatan daya tarik wisata</t>
  </si>
  <si>
    <t>- Pemberdayaan Pengrajin</t>
  </si>
  <si>
    <t>3 kel</t>
  </si>
  <si>
    <t>- Pengembangan Agro wisata</t>
  </si>
  <si>
    <t>1 lokasi</t>
  </si>
  <si>
    <t>- Keunikan Lokal</t>
  </si>
  <si>
    <t>2 buah</t>
  </si>
  <si>
    <t>Pengembangan Sadar Wisata (7 kelompok)</t>
  </si>
  <si>
    <t>terwujudnya peningkatan Ketrampilan dan Kesadaran Masyarakat terhadap Pariwisata (7 kel)</t>
  </si>
  <si>
    <t>SUB TOTAL DISPARBUD</t>
  </si>
  <si>
    <t>DEPERINDAG</t>
  </si>
  <si>
    <t>Pembinaan dan Pengawasan Bidang Perijinan ( SIUP,TDP,TDG )</t>
  </si>
  <si>
    <t>Teridentifikasi perusahaan yang sudah maupun yang belum memiliki SIUP, TDP, TDG</t>
  </si>
  <si>
    <t>SUB TOTAL DEPERINDAG</t>
  </si>
  <si>
    <t>PROGRAM</t>
  </si>
  <si>
    <t xml:space="preserve">TAHUN ANGGARAN </t>
  </si>
  <si>
    <t xml:space="preserve">Pengembangan Ekowisata dan Jasa Lingkungan </t>
  </si>
  <si>
    <t>Pengelolaan Keanekaragaman Hayati dan Ekosistem</t>
  </si>
  <si>
    <t>dan Konservasi SDA</t>
  </si>
  <si>
    <t>Pelestarian dan aktualisasi adat budaya daerah</t>
  </si>
  <si>
    <t>Pengembangan Kesenian dan Kebudayaan Daerah</t>
  </si>
  <si>
    <t>Prosesi Ritual Suran Gunung Kemukus</t>
  </si>
  <si>
    <t>Fasilitas Penyelenggaraan Festival Budaya Daerah</t>
  </si>
  <si>
    <t>Lomba Kesenian tradisional daerah (tayub, campursari</t>
  </si>
  <si>
    <t>dan karawitan)</t>
  </si>
  <si>
    <t>Pembinaan Industri Kecil dan menengah dalam memperkuat</t>
  </si>
  <si>
    <t>jaringan kluster industri Batik</t>
  </si>
  <si>
    <t>Bintek dan Banlat Jamur Tiram</t>
  </si>
  <si>
    <t>pemanfaatan sumberdaya penyamakan kulit</t>
  </si>
  <si>
    <t>Pengembangan Produk Bahan Kulit Karet dari plastik</t>
  </si>
  <si>
    <t>Peningkatan Produksi Pertanian</t>
  </si>
  <si>
    <t xml:space="preserve">Pengembangan Kawasan Hortikultura </t>
  </si>
  <si>
    <t xml:space="preserve">      2.2.1.2 Pengembangan Budidaya Strowbery</t>
  </si>
  <si>
    <t xml:space="preserve">      2.2.1.3 Pemanfaatan sumber air : Pembudidayaan ikan sidat</t>
  </si>
  <si>
    <t xml:space="preserve">       2.2.1.4 Pemanfaatan sumber air : Pembuatan ROW</t>
  </si>
  <si>
    <t xml:space="preserve">       2.2.1.5 Pembuatan Mall Komoditas Organik di Kab Karanganyar</t>
  </si>
  <si>
    <t xml:space="preserve">       2.2.1.6 Pembentukan Kelompok Pengelola Wisata Desa (KPWD)</t>
  </si>
  <si>
    <t>Pengadaan Alat pendukung pariwisata</t>
  </si>
  <si>
    <t>Belum di rekap</t>
  </si>
  <si>
    <t>Capture dan editing foto desa wisata baru</t>
  </si>
  <si>
    <t>Fasilitasi kegiatan unggulan wisata daerah</t>
  </si>
  <si>
    <t>Focus Group Discussion (FDG) tentang Penyusunan DED Kawasan Agrowisata Kab Kranyar, Magetan dan Propektus bisnis Ngawi</t>
  </si>
  <si>
    <t>e. Dokumentasi dan cetak Hasil</t>
  </si>
  <si>
    <t>RENCANA KERJASAMA KABUPATEN NGAWI DENGAN UNS TAHUN 2011 SD. 2013</t>
  </si>
  <si>
    <t>belum direkap</t>
  </si>
  <si>
    <t>2.2.2.1 Pengembangan Kawasan Agrowisata budidaya Jeruk Pamelo dan Peternakan Sapi  di Kecamatan  Bendo Kab. Magetan</t>
  </si>
  <si>
    <t>Pembukaan lahan (@70 ha)</t>
  </si>
  <si>
    <t>Manajemen pengelolaan kawasan</t>
  </si>
  <si>
    <t>Pembelian benih unggul tahan virus</t>
  </si>
  <si>
    <t>Pemrosesan kotoran sapi sebagai bahan pembuatan pupuk organik</t>
  </si>
  <si>
    <t>Pemeliharaan jeruk pamelo</t>
  </si>
  <si>
    <t>Pembelian sapi</t>
  </si>
  <si>
    <t>Penggemukan sapi</t>
  </si>
  <si>
    <t xml:space="preserve">Pengolahan kulit jeruk menjadi manisan sebagai oleh-oleh khas daerah </t>
  </si>
  <si>
    <t>Pembuatan fasilitas outbound di kawasan terpadu</t>
  </si>
  <si>
    <t>Pembuatan rumah makan di kawasan terpadu</t>
  </si>
  <si>
    <t>2.2.3.1 Pengembangan Desa Wisata di Kecamatan  Ngrambe, Jogorogo dan Kendal  Kab Ngawi</t>
  </si>
  <si>
    <t>Kegiatan 1 (Pelatihan budidaya dan pasca panen)</t>
  </si>
  <si>
    <t>Seminar KIT (include modul)</t>
  </si>
  <si>
    <t>Tenaga ahli</t>
  </si>
  <si>
    <t xml:space="preserve">Bahan dan pengelolaan budidaya </t>
  </si>
  <si>
    <t>Bahan dan pengolahan pasca panen</t>
  </si>
  <si>
    <t>Final report</t>
  </si>
  <si>
    <t>Pengelola kegiatan</t>
  </si>
  <si>
    <t>Transport pengelola kegiatan</t>
  </si>
  <si>
    <t>Kegiatan 2 (Pengelolaan homestay)</t>
  </si>
  <si>
    <t>Renovasi kelayakan homestay</t>
  </si>
  <si>
    <t>Seminar KIT + modul</t>
  </si>
  <si>
    <t>Tenaga ahli (Praktisi Pariwisata )</t>
  </si>
  <si>
    <t>Kegiatan 3 (Studi banding)</t>
  </si>
  <si>
    <t>Total 2.2.2.1</t>
  </si>
  <si>
    <t>Total 2.2.3.1</t>
  </si>
  <si>
    <t xml:space="preserve"> </t>
  </si>
  <si>
    <t>III</t>
  </si>
  <si>
    <t>Promosi atas hasil produksi perkebunan unggulan daerah</t>
  </si>
  <si>
    <t>RENCANA KERJASAMA  KABUPATEN SRAGEN DENGAN UNS TAHUN 2011 S.D 2013</t>
  </si>
  <si>
    <t>PROGRAM II : PENGEMBANGAN PARIWISATA MINAT KHUSUS ( SPECIAL INTEREST TOURISM ) KAB. SRAGEN</t>
  </si>
  <si>
    <t>KETERANGAN</t>
  </si>
  <si>
    <t xml:space="preserve">BADAN LINGKUNGAN  </t>
  </si>
  <si>
    <t>HIDUP</t>
  </si>
  <si>
    <t>DINAS PARBUDPORA</t>
  </si>
  <si>
    <t>Sumber : APBD I</t>
  </si>
  <si>
    <t xml:space="preserve">DINAS PERINDUSTRIAN, </t>
  </si>
  <si>
    <t>KOPERASI DAN UMKM</t>
  </si>
  <si>
    <t xml:space="preserve">Fasilitasi bagi industri kecil dan menengah terhadap </t>
  </si>
  <si>
    <t>DINAS PERTANIAN</t>
  </si>
  <si>
    <t>Sumber: APBN</t>
  </si>
  <si>
    <t xml:space="preserve">Fasilitasi Kerjasama dengan Dunia Usaha dan Lembaga </t>
  </si>
  <si>
    <t>Sumber : APBD Kab &amp; Prov.</t>
  </si>
  <si>
    <t>PROGRAM III : PENGEMBANGAN SISTEM PROMOSI DAN INFORMASI PARIWISATA BERBASIS MODEL. INTEGRATED ICT DI KAB. SRAGEN</t>
  </si>
  <si>
    <t>KET.</t>
  </si>
  <si>
    <t>DINAS KEHUTANAN DAN</t>
  </si>
  <si>
    <t>PERKEBUNAN</t>
  </si>
  <si>
    <t>TOTAL</t>
  </si>
  <si>
    <t>Kab Sragen</t>
  </si>
  <si>
    <t>Pengembagan Kawasan Holtikultura di Sragen</t>
  </si>
  <si>
    <t>Peningkatan Produksi pertanian</t>
  </si>
  <si>
    <t>Bintek dan Banlat Jamur tiram</t>
  </si>
  <si>
    <t>ok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</si>
</sst>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0_);_(* \(#,##0.0000\);_(* &quot;-&quot;????_);_(@_)"/>
    <numFmt numFmtId="177" formatCode="_(* #,##0.0000000_);_(* \(#,##0.0000000\);_(* &quot;-&quot;???????_);_(@_)"/>
    <numFmt numFmtId="178" formatCode="#,##0.0000"/>
    <numFmt numFmtId="179" formatCode="0.00;[Red]0.00"/>
    <numFmt numFmtId="180" formatCode="0;[Red]0"/>
    <numFmt numFmtId="181" formatCode="#,##0;[Red]#,##0"/>
    <numFmt numFmtId="182" formatCode="#,##0.00;[Red]#,##0.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Calibri"/>
      <family val="0"/>
    </font>
    <font>
      <b/>
      <sz val="10"/>
      <name val="Times New Roman"/>
      <family val="1"/>
    </font>
    <font>
      <b/>
      <i/>
      <sz val="10"/>
      <name val="Arial"/>
      <family val="2"/>
    </font>
    <font>
      <sz val="8.5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8.5"/>
      <color indexed="10"/>
      <name val="Arial"/>
      <family val="0"/>
    </font>
    <font>
      <sz val="10"/>
      <color indexed="12"/>
      <name val="Arial"/>
      <family val="0"/>
    </font>
    <font>
      <b/>
      <sz val="8.5"/>
      <name val="Arial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b/>
      <sz val="11"/>
      <color indexed="8"/>
      <name val="Arial Narrow"/>
      <family val="2"/>
    </font>
    <font>
      <b/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0" fillId="24" borderId="10" xfId="0" applyNumberFormat="1" applyFill="1" applyBorder="1" applyAlignment="1">
      <alignment/>
    </xf>
    <xf numFmtId="0" fontId="2" fillId="24" borderId="10" xfId="0" applyFont="1" applyFill="1" applyBorder="1" applyAlignment="1">
      <alignment/>
    </xf>
    <xf numFmtId="171" fontId="0" fillId="0" borderId="10" xfId="42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1" fontId="0" fillId="0" borderId="10" xfId="43" applyFont="1" applyBorder="1" applyAlignment="1">
      <alignment/>
    </xf>
    <xf numFmtId="41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41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41" fontId="7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1" fontId="2" fillId="25" borderId="10" xfId="0" applyNumberFormat="1" applyFont="1" applyFill="1" applyBorder="1" applyAlignment="1">
      <alignment wrapText="1"/>
    </xf>
    <xf numFmtId="41" fontId="0" fillId="25" borderId="10" xfId="0" applyNumberFormat="1" applyFont="1" applyFill="1" applyBorder="1" applyAlignment="1">
      <alignment/>
    </xf>
    <xf numFmtId="49" fontId="0" fillId="25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4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justify" vertical="justify"/>
    </xf>
    <xf numFmtId="0" fontId="8" fillId="0" borderId="10" xfId="0" applyFont="1" applyBorder="1" applyAlignment="1">
      <alignment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6" borderId="10" xfId="0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/>
    </xf>
    <xf numFmtId="49" fontId="2" fillId="21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1" fontId="2" fillId="24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1" fontId="0" fillId="24" borderId="10" xfId="42" applyNumberFormat="1" applyFont="1" applyFill="1" applyBorder="1" applyAlignment="1">
      <alignment/>
    </xf>
    <xf numFmtId="41" fontId="0" fillId="0" borderId="10" xfId="0" applyNumberFormat="1" applyFill="1" applyBorder="1" applyAlignment="1">
      <alignment horizontal="left"/>
    </xf>
    <xf numFmtId="171" fontId="0" fillId="0" borderId="10" xfId="42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26" borderId="0" xfId="0" applyFill="1" applyBorder="1" applyAlignment="1">
      <alignment/>
    </xf>
    <xf numFmtId="0" fontId="0" fillId="21" borderId="0" xfId="0" applyFill="1" applyBorder="1" applyAlignment="1">
      <alignment/>
    </xf>
    <xf numFmtId="41" fontId="0" fillId="0" borderId="10" xfId="43" applyFont="1" applyFill="1" applyBorder="1" applyAlignment="1">
      <alignment/>
    </xf>
    <xf numFmtId="171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71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71" fontId="0" fillId="0" borderId="10" xfId="42" applyNumberFormat="1" applyFont="1" applyFill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24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7" fontId="0" fillId="0" borderId="10" xfId="0" applyNumberFormat="1" applyFont="1" applyBorder="1" applyAlignment="1">
      <alignment/>
    </xf>
    <xf numFmtId="41" fontId="11" fillId="22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1" fontId="2" fillId="22" borderId="10" xfId="0" applyNumberFormat="1" applyFont="1" applyFill="1" applyBorder="1" applyAlignment="1">
      <alignment/>
    </xf>
    <xf numFmtId="0" fontId="0" fillId="22" borderId="10" xfId="0" applyFill="1" applyBorder="1" applyAlignment="1">
      <alignment/>
    </xf>
    <xf numFmtId="0" fontId="2" fillId="27" borderId="10" xfId="0" applyFont="1" applyFill="1" applyBorder="1" applyAlignment="1">
      <alignment/>
    </xf>
    <xf numFmtId="0" fontId="2" fillId="24" borderId="0" xfId="0" applyFont="1" applyFill="1" applyAlignment="1">
      <alignment/>
    </xf>
    <xf numFmtId="3" fontId="2" fillId="27" borderId="10" xfId="0" applyNumberFormat="1" applyFont="1" applyFill="1" applyBorder="1" applyAlignment="1">
      <alignment/>
    </xf>
    <xf numFmtId="171" fontId="2" fillId="27" borderId="1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/>
    </xf>
    <xf numFmtId="0" fontId="0" fillId="27" borderId="10" xfId="0" applyFill="1" applyBorder="1" applyAlignment="1">
      <alignment/>
    </xf>
    <xf numFmtId="0" fontId="0" fillId="27" borderId="0" xfId="0" applyFill="1" applyBorder="1" applyAlignment="1">
      <alignment/>
    </xf>
    <xf numFmtId="181" fontId="2" fillId="24" borderId="10" xfId="46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2" fillId="22" borderId="10" xfId="0" applyFont="1" applyFill="1" applyBorder="1" applyAlignment="1">
      <alignment horizontal="center"/>
    </xf>
    <xf numFmtId="171" fontId="0" fillId="22" borderId="10" xfId="42" applyNumberFormat="1" applyFont="1" applyFill="1" applyBorder="1" applyAlignment="1">
      <alignment/>
    </xf>
    <xf numFmtId="0" fontId="0" fillId="22" borderId="0" xfId="0" applyFill="1" applyBorder="1" applyAlignment="1">
      <alignment/>
    </xf>
    <xf numFmtId="0" fontId="2" fillId="22" borderId="10" xfId="0" applyFont="1" applyFill="1" applyBorder="1" applyAlignment="1">
      <alignment/>
    </xf>
    <xf numFmtId="171" fontId="2" fillId="10" borderId="10" xfId="0" applyNumberFormat="1" applyFont="1" applyFill="1" applyBorder="1" applyAlignment="1">
      <alignment/>
    </xf>
    <xf numFmtId="3" fontId="2" fillId="10" borderId="10" xfId="0" applyNumberFormat="1" applyFont="1" applyFill="1" applyBorder="1" applyAlignment="1">
      <alignment/>
    </xf>
    <xf numFmtId="0" fontId="0" fillId="10" borderId="10" xfId="0" applyFill="1" applyBorder="1" applyAlignment="1">
      <alignment/>
    </xf>
    <xf numFmtId="37" fontId="2" fillId="10" borderId="10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24" borderId="10" xfId="42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27" borderId="10" xfId="42" applyNumberFormat="1" applyFont="1" applyFill="1" applyBorder="1" applyAlignment="1">
      <alignment/>
    </xf>
    <xf numFmtId="3" fontId="0" fillId="0" borderId="10" xfId="42" applyNumberFormat="1" applyFont="1" applyBorder="1" applyAlignment="1">
      <alignment/>
    </xf>
    <xf numFmtId="3" fontId="2" fillId="0" borderId="10" xfId="42" applyNumberFormat="1" applyFont="1" applyFill="1" applyBorder="1" applyAlignment="1">
      <alignment/>
    </xf>
    <xf numFmtId="3" fontId="0" fillId="26" borderId="10" xfId="0" applyNumberFormat="1" applyFill="1" applyBorder="1" applyAlignment="1">
      <alignment/>
    </xf>
    <xf numFmtId="3" fontId="2" fillId="24" borderId="10" xfId="42" applyNumberFormat="1" applyFont="1" applyFill="1" applyBorder="1" applyAlignment="1">
      <alignment horizontal="center"/>
    </xf>
    <xf numFmtId="3" fontId="2" fillId="22" borderId="10" xfId="42" applyNumberFormat="1" applyFont="1" applyFill="1" applyBorder="1" applyAlignment="1">
      <alignment horizontal="center"/>
    </xf>
    <xf numFmtId="3" fontId="2" fillId="0" borderId="10" xfId="42" applyNumberFormat="1" applyFont="1" applyFill="1" applyBorder="1" applyAlignment="1">
      <alignment horizontal="center"/>
    </xf>
    <xf numFmtId="3" fontId="2" fillId="0" borderId="10" xfId="42" applyNumberFormat="1" applyFont="1" applyBorder="1" applyAlignment="1">
      <alignment/>
    </xf>
    <xf numFmtId="3" fontId="2" fillId="22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22" borderId="10" xfId="0" applyNumberFormat="1" applyFont="1" applyFill="1" applyBorder="1" applyAlignment="1">
      <alignment/>
    </xf>
    <xf numFmtId="3" fontId="0" fillId="0" borderId="10" xfId="42" applyNumberFormat="1" applyFont="1" applyFill="1" applyBorder="1" applyAlignment="1">
      <alignment horizontal="right"/>
    </xf>
    <xf numFmtId="3" fontId="0" fillId="0" borderId="10" xfId="42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0" xfId="42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3" fontId="0" fillId="20" borderId="10" xfId="0" applyNumberFormat="1" applyFont="1" applyFill="1" applyBorder="1" applyAlignment="1">
      <alignment/>
    </xf>
    <xf numFmtId="3" fontId="0" fillId="20" borderId="10" xfId="0" applyNumberFormat="1" applyFill="1" applyBorder="1" applyAlignment="1">
      <alignment/>
    </xf>
    <xf numFmtId="41" fontId="0" fillId="20" borderId="10" xfId="0" applyNumberFormat="1" applyFill="1" applyBorder="1" applyAlignment="1">
      <alignment/>
    </xf>
    <xf numFmtId="3" fontId="2" fillId="22" borderId="10" xfId="42" applyNumberFormat="1" applyFont="1" applyFill="1" applyBorder="1" applyAlignment="1">
      <alignment/>
    </xf>
    <xf numFmtId="171" fontId="2" fillId="22" borderId="10" xfId="42" applyNumberFormat="1" applyFont="1" applyFill="1" applyBorder="1" applyAlignment="1">
      <alignment/>
    </xf>
    <xf numFmtId="43" fontId="2" fillId="22" borderId="10" xfId="42" applyNumberFormat="1" applyFont="1" applyFill="1" applyBorder="1" applyAlignment="1">
      <alignment/>
    </xf>
    <xf numFmtId="49" fontId="0" fillId="20" borderId="10" xfId="0" applyNumberFormat="1" applyFont="1" applyFill="1" applyBorder="1" applyAlignment="1">
      <alignment/>
    </xf>
    <xf numFmtId="3" fontId="0" fillId="20" borderId="10" xfId="0" applyNumberFormat="1" applyFont="1" applyFill="1" applyBorder="1" applyAlignment="1">
      <alignment/>
    </xf>
    <xf numFmtId="3" fontId="0" fillId="20" borderId="10" xfId="42" applyNumberFormat="1" applyFont="1" applyFill="1" applyBorder="1" applyAlignment="1">
      <alignment/>
    </xf>
    <xf numFmtId="3" fontId="0" fillId="20" borderId="10" xfId="42" applyNumberFormat="1" applyFont="1" applyFill="1" applyBorder="1" applyAlignment="1">
      <alignment/>
    </xf>
    <xf numFmtId="171" fontId="0" fillId="20" borderId="10" xfId="4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171" fontId="0" fillId="0" borderId="11" xfId="42" applyNumberFormat="1" applyFont="1" applyBorder="1" applyAlignment="1">
      <alignment horizontal="center"/>
    </xf>
    <xf numFmtId="171" fontId="0" fillId="17" borderId="11" xfId="42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71" fontId="0" fillId="0" borderId="15" xfId="42" applyNumberFormat="1" applyFont="1" applyBorder="1" applyAlignment="1">
      <alignment horizontal="center"/>
    </xf>
    <xf numFmtId="3" fontId="15" fillId="0" borderId="10" xfId="0" applyNumberFormat="1" applyFont="1" applyBorder="1" applyAlignment="1">
      <alignment/>
    </xf>
    <xf numFmtId="171" fontId="0" fillId="0" borderId="12" xfId="42" applyNumberFormat="1" applyFont="1" applyBorder="1" applyAlignment="1">
      <alignment horizontal="center"/>
    </xf>
    <xf numFmtId="14" fontId="2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/>
    </xf>
    <xf numFmtId="0" fontId="14" fillId="0" borderId="15" xfId="0" applyFont="1" applyBorder="1" applyAlignment="1">
      <alignment/>
    </xf>
    <xf numFmtId="171" fontId="0" fillId="17" borderId="15" xfId="42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171" fontId="18" fillId="0" borderId="15" xfId="42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71" fontId="0" fillId="0" borderId="15" xfId="42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/>
    </xf>
    <xf numFmtId="0" fontId="20" fillId="20" borderId="16" xfId="0" applyFont="1" applyFill="1" applyBorder="1" applyAlignment="1">
      <alignment wrapText="1"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171" fontId="6" fillId="0" borderId="12" xfId="0" applyNumberFormat="1" applyFont="1" applyBorder="1" applyAlignment="1">
      <alignment horizontal="center"/>
    </xf>
    <xf numFmtId="0" fontId="8" fillId="20" borderId="10" xfId="0" applyFont="1" applyFill="1" applyBorder="1" applyAlignment="1">
      <alignment horizontal="justify" vertical="justify"/>
    </xf>
    <xf numFmtId="3" fontId="0" fillId="22" borderId="0" xfId="0" applyNumberFormat="1" applyFill="1" applyBorder="1" applyAlignment="1">
      <alignment/>
    </xf>
    <xf numFmtId="0" fontId="20" fillId="25" borderId="16" xfId="0" applyFont="1" applyFill="1" applyBorder="1" applyAlignment="1">
      <alignment vertical="center"/>
    </xf>
    <xf numFmtId="0" fontId="21" fillId="25" borderId="16" xfId="61" applyFont="1" applyFill="1" applyBorder="1" applyAlignment="1">
      <alignment vertical="top" wrapText="1"/>
      <protection/>
    </xf>
    <xf numFmtId="0" fontId="21" fillId="25" borderId="16" xfId="61" applyFont="1" applyFill="1" applyBorder="1" applyAlignment="1">
      <alignment horizontal="left" vertical="top" wrapText="1"/>
      <protection/>
    </xf>
    <xf numFmtId="41" fontId="21" fillId="17" borderId="16" xfId="61" applyNumberFormat="1" applyFont="1" applyFill="1" applyBorder="1" applyAlignment="1">
      <alignment vertical="top" wrapText="1"/>
      <protection/>
    </xf>
    <xf numFmtId="41" fontId="21" fillId="25" borderId="16" xfId="61" applyNumberFormat="1" applyFont="1" applyFill="1" applyBorder="1" applyAlignment="1">
      <alignment vertical="top" wrapText="1"/>
      <protection/>
    </xf>
    <xf numFmtId="0" fontId="20" fillId="25" borderId="16" xfId="0" applyFont="1" applyFill="1" applyBorder="1" applyAlignment="1">
      <alignment/>
    </xf>
    <xf numFmtId="0" fontId="20" fillId="25" borderId="16" xfId="0" applyFont="1" applyFill="1" applyBorder="1" applyAlignment="1">
      <alignment vertical="top"/>
    </xf>
    <xf numFmtId="41" fontId="20" fillId="25" borderId="16" xfId="0" applyNumberFormat="1" applyFont="1" applyFill="1" applyBorder="1" applyAlignment="1">
      <alignment/>
    </xf>
    <xf numFmtId="0" fontId="21" fillId="25" borderId="16" xfId="62" applyFont="1" applyFill="1" applyBorder="1" applyAlignment="1">
      <alignment vertical="top" wrapText="1"/>
      <protection/>
    </xf>
    <xf numFmtId="41" fontId="21" fillId="25" borderId="16" xfId="59" applyNumberFormat="1" applyFont="1" applyFill="1" applyBorder="1" applyAlignment="1">
      <alignment horizontal="right" vertical="top" wrapText="1"/>
      <protection/>
    </xf>
    <xf numFmtId="0" fontId="21" fillId="25" borderId="16" xfId="62" applyFont="1" applyFill="1" applyBorder="1" applyAlignment="1">
      <alignment vertical="top"/>
      <protection/>
    </xf>
    <xf numFmtId="41" fontId="21" fillId="25" borderId="16" xfId="45" applyNumberFormat="1" applyFont="1" applyFill="1" applyBorder="1" applyAlignment="1">
      <alignment vertical="top"/>
    </xf>
    <xf numFmtId="0" fontId="20" fillId="25" borderId="16" xfId="0" applyFont="1" applyFill="1" applyBorder="1" applyAlignment="1">
      <alignment wrapText="1"/>
    </xf>
    <xf numFmtId="41" fontId="20" fillId="17" borderId="16" xfId="43" applyFont="1" applyFill="1" applyBorder="1" applyAlignment="1">
      <alignment/>
    </xf>
    <xf numFmtId="3" fontId="21" fillId="17" borderId="16" xfId="60" applyNumberFormat="1" applyFont="1" applyFill="1" applyBorder="1" applyAlignment="1">
      <alignment vertical="top" wrapText="1"/>
      <protection/>
    </xf>
    <xf numFmtId="9" fontId="20" fillId="25" borderId="16" xfId="0" applyNumberFormat="1" applyFont="1" applyFill="1" applyBorder="1" applyAlignment="1">
      <alignment horizontal="left"/>
    </xf>
    <xf numFmtId="0" fontId="21" fillId="25" borderId="16" xfId="60" applyFont="1" applyFill="1" applyBorder="1" applyAlignment="1">
      <alignment horizontal="left" vertical="top"/>
      <protection/>
    </xf>
    <xf numFmtId="0" fontId="21" fillId="25" borderId="16" xfId="60" applyFont="1" applyFill="1" applyBorder="1" applyAlignment="1">
      <alignment vertical="top" wrapText="1"/>
      <protection/>
    </xf>
    <xf numFmtId="0" fontId="21" fillId="25" borderId="16" xfId="60" applyFont="1" applyFill="1" applyBorder="1" applyAlignment="1">
      <alignment horizontal="left" vertical="top" wrapText="1"/>
      <protection/>
    </xf>
    <xf numFmtId="0" fontId="21" fillId="25" borderId="16" xfId="60" applyFont="1" applyFill="1" applyBorder="1" applyAlignment="1">
      <alignment wrapText="1"/>
      <protection/>
    </xf>
    <xf numFmtId="0" fontId="20" fillId="25" borderId="16" xfId="63" applyFont="1" applyFill="1" applyBorder="1" applyAlignment="1">
      <alignment vertical="top" wrapText="1"/>
      <protection/>
    </xf>
    <xf numFmtId="41" fontId="21" fillId="25" borderId="16" xfId="44" applyFont="1" applyFill="1" applyBorder="1" applyAlignment="1">
      <alignment horizontal="right" vertical="top"/>
    </xf>
    <xf numFmtId="41" fontId="21" fillId="25" borderId="16" xfId="44" applyFont="1" applyFill="1" applyBorder="1" applyAlignment="1" quotePrefix="1">
      <alignment horizontal="right" vertical="top"/>
    </xf>
    <xf numFmtId="0" fontId="21" fillId="25" borderId="16" xfId="60" applyFont="1" applyFill="1" applyBorder="1" applyAlignment="1" quotePrefix="1">
      <alignment vertical="top" wrapText="1"/>
      <protection/>
    </xf>
    <xf numFmtId="0" fontId="22" fillId="25" borderId="16" xfId="0" applyFont="1" applyFill="1" applyBorder="1" applyAlignment="1">
      <alignment/>
    </xf>
    <xf numFmtId="0" fontId="22" fillId="25" borderId="17" xfId="0" applyFont="1" applyFill="1" applyBorder="1" applyAlignment="1">
      <alignment/>
    </xf>
    <xf numFmtId="0" fontId="0" fillId="20" borderId="18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20" borderId="19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41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 quotePrefix="1">
      <alignment/>
    </xf>
    <xf numFmtId="4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20" borderId="22" xfId="0" applyFill="1" applyBorder="1" applyAlignment="1">
      <alignment horizontal="center"/>
    </xf>
    <xf numFmtId="0" fontId="0" fillId="20" borderId="22" xfId="0" applyFill="1" applyBorder="1" applyAlignment="1">
      <alignment/>
    </xf>
    <xf numFmtId="41" fontId="0" fillId="20" borderId="22" xfId="0" applyNumberFormat="1" applyFill="1" applyBorder="1" applyAlignment="1">
      <alignment/>
    </xf>
    <xf numFmtId="41" fontId="20" fillId="28" borderId="16" xfId="43" applyFont="1" applyFill="1" applyBorder="1" applyAlignment="1">
      <alignment/>
    </xf>
    <xf numFmtId="3" fontId="21" fillId="28" borderId="16" xfId="60" applyNumberFormat="1" applyFont="1" applyFill="1" applyBorder="1" applyAlignment="1">
      <alignment vertical="top" wrapText="1"/>
      <protection/>
    </xf>
    <xf numFmtId="41" fontId="21" fillId="28" borderId="16" xfId="44" applyFont="1" applyFill="1" applyBorder="1" applyAlignment="1">
      <alignment horizontal="right" vertical="top"/>
    </xf>
    <xf numFmtId="3" fontId="0" fillId="24" borderId="0" xfId="0" applyNumberFormat="1" applyFill="1" applyBorder="1" applyAlignment="1">
      <alignment/>
    </xf>
    <xf numFmtId="41" fontId="0" fillId="20" borderId="10" xfId="0" applyNumberFormat="1" applyFont="1" applyFill="1" applyBorder="1" applyAlignment="1">
      <alignment/>
    </xf>
    <xf numFmtId="3" fontId="2" fillId="22" borderId="10" xfId="42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3" fontId="0" fillId="20" borderId="0" xfId="0" applyNumberFormat="1" applyFill="1" applyAlignment="1">
      <alignment/>
    </xf>
    <xf numFmtId="0" fontId="0" fillId="20" borderId="15" xfId="0" applyFill="1" applyBorder="1" applyAlignment="1">
      <alignment horizontal="center"/>
    </xf>
    <xf numFmtId="0" fontId="0" fillId="20" borderId="15" xfId="0" applyFill="1" applyBorder="1" applyAlignment="1">
      <alignment/>
    </xf>
    <xf numFmtId="0" fontId="1" fillId="20" borderId="15" xfId="0" applyFont="1" applyFill="1" applyBorder="1" applyAlignment="1">
      <alignment/>
    </xf>
    <xf numFmtId="0" fontId="14" fillId="20" borderId="15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171" fontId="0" fillId="20" borderId="15" xfId="42" applyNumberFormat="1" applyFont="1" applyFill="1" applyBorder="1" applyAlignment="1">
      <alignment horizontal="center"/>
    </xf>
    <xf numFmtId="0" fontId="15" fillId="20" borderId="15" xfId="0" applyFont="1" applyFill="1" applyBorder="1" applyAlignment="1">
      <alignment horizontal="center"/>
    </xf>
    <xf numFmtId="0" fontId="15" fillId="20" borderId="15" xfId="0" applyFont="1" applyFill="1" applyBorder="1" applyAlignment="1">
      <alignment/>
    </xf>
    <xf numFmtId="0" fontId="16" fillId="20" borderId="15" xfId="0" applyFont="1" applyFill="1" applyBorder="1" applyAlignment="1">
      <alignment/>
    </xf>
    <xf numFmtId="0" fontId="17" fillId="20" borderId="15" xfId="0" applyFont="1" applyFill="1" applyBorder="1" applyAlignment="1">
      <alignment/>
    </xf>
    <xf numFmtId="171" fontId="15" fillId="20" borderId="15" xfId="42" applyNumberFormat="1" applyFont="1" applyFill="1" applyBorder="1" applyAlignment="1">
      <alignment horizontal="center"/>
    </xf>
    <xf numFmtId="41" fontId="20" fillId="20" borderId="16" xfId="43" applyFont="1" applyFill="1" applyBorder="1" applyAlignment="1">
      <alignment/>
    </xf>
    <xf numFmtId="0" fontId="20" fillId="20" borderId="16" xfId="0" applyFont="1" applyFill="1" applyBorder="1" applyAlignment="1">
      <alignment/>
    </xf>
    <xf numFmtId="41" fontId="21" fillId="17" borderId="16" xfId="44" applyFont="1" applyFill="1" applyBorder="1" applyAlignment="1">
      <alignment horizontal="right" vertical="top"/>
    </xf>
    <xf numFmtId="0" fontId="21" fillId="20" borderId="16" xfId="60" applyFont="1" applyFill="1" applyBorder="1" applyAlignment="1" quotePrefix="1">
      <alignment vertical="top" wrapText="1"/>
      <protection/>
    </xf>
    <xf numFmtId="41" fontId="21" fillId="20" borderId="16" xfId="44" applyFont="1" applyFill="1" applyBorder="1" applyAlignment="1">
      <alignment horizontal="right" vertical="top"/>
    </xf>
    <xf numFmtId="41" fontId="21" fillId="17" borderId="16" xfId="45" applyNumberFormat="1" applyFont="1" applyFill="1" applyBorder="1" applyAlignment="1">
      <alignment vertical="top"/>
    </xf>
    <xf numFmtId="0" fontId="21" fillId="20" borderId="16" xfId="60" applyFont="1" applyFill="1" applyBorder="1" applyAlignment="1">
      <alignment vertical="top" wrapText="1"/>
      <protection/>
    </xf>
    <xf numFmtId="3" fontId="6" fillId="22" borderId="10" xfId="42" applyNumberFormat="1" applyFont="1" applyFill="1" applyBorder="1" applyAlignment="1">
      <alignment/>
    </xf>
    <xf numFmtId="3" fontId="6" fillId="27" borderId="10" xfId="0" applyNumberFormat="1" applyFont="1" applyFill="1" applyBorder="1" applyAlignment="1">
      <alignment/>
    </xf>
    <xf numFmtId="0" fontId="2" fillId="24" borderId="11" xfId="0" applyFont="1" applyFill="1" applyBorder="1" applyAlignment="1">
      <alignment/>
    </xf>
    <xf numFmtId="3" fontId="1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3" fontId="1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1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justify" vertical="justify"/>
    </xf>
    <xf numFmtId="0" fontId="2" fillId="0" borderId="15" xfId="0" applyFont="1" applyFill="1" applyBorder="1" applyAlignment="1">
      <alignment/>
    </xf>
    <xf numFmtId="3" fontId="12" fillId="0" borderId="15" xfId="0" applyNumberFormat="1" applyFont="1" applyFill="1" applyBorder="1" applyAlignment="1">
      <alignment horizontal="right"/>
    </xf>
    <xf numFmtId="0" fontId="41" fillId="0" borderId="10" xfId="0" applyFont="1" applyBorder="1" applyAlignment="1">
      <alignment/>
    </xf>
    <xf numFmtId="180" fontId="12" fillId="0" borderId="10" xfId="0" applyNumberFormat="1" applyFont="1" applyFill="1" applyBorder="1" applyAlignment="1">
      <alignment horizontal="right"/>
    </xf>
    <xf numFmtId="181" fontId="41" fillId="0" borderId="10" xfId="0" applyNumberFormat="1" applyFont="1" applyBorder="1" applyAlignment="1">
      <alignment horizontal="right"/>
    </xf>
    <xf numFmtId="181" fontId="41" fillId="0" borderId="10" xfId="0" applyNumberFormat="1" applyFont="1" applyBorder="1" applyAlignment="1">
      <alignment horizontal="right" vertical="center"/>
    </xf>
    <xf numFmtId="3" fontId="2" fillId="0" borderId="23" xfId="0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 horizontal="right"/>
    </xf>
    <xf numFmtId="0" fontId="43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3" fontId="12" fillId="24" borderId="10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3" fontId="12" fillId="24" borderId="11" xfId="0" applyNumberFormat="1" applyFont="1" applyFill="1" applyBorder="1" applyAlignment="1">
      <alignment horizontal="right"/>
    </xf>
    <xf numFmtId="0" fontId="0" fillId="24" borderId="0" xfId="0" applyFill="1" applyBorder="1" applyAlignment="1">
      <alignment/>
    </xf>
    <xf numFmtId="181" fontId="43" fillId="24" borderId="10" xfId="0" applyNumberFormat="1" applyFont="1" applyFill="1" applyBorder="1" applyAlignment="1">
      <alignment horizontal="right"/>
    </xf>
    <xf numFmtId="0" fontId="2" fillId="24" borderId="11" xfId="0" applyFont="1" applyFill="1" applyBorder="1" applyAlignment="1">
      <alignment horizontal="center"/>
    </xf>
    <xf numFmtId="3" fontId="2" fillId="24" borderId="11" xfId="0" applyNumberFormat="1" applyFont="1" applyFill="1" applyBorder="1" applyAlignment="1">
      <alignment/>
    </xf>
    <xf numFmtId="3" fontId="2" fillId="22" borderId="10" xfId="0" applyNumberFormat="1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182" fontId="39" fillId="0" borderId="10" xfId="0" applyNumberFormat="1" applyFont="1" applyBorder="1" applyAlignment="1">
      <alignment wrapText="1"/>
    </xf>
    <xf numFmtId="3" fontId="2" fillId="22" borderId="10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182" fontId="44" fillId="24" borderId="10" xfId="0" applyNumberFormat="1" applyFont="1" applyFill="1" applyBorder="1" applyAlignment="1">
      <alignment wrapText="1"/>
    </xf>
    <xf numFmtId="41" fontId="0" fillId="0" borderId="15" xfId="0" applyNumberFormat="1" applyBorder="1" applyAlignment="1">
      <alignment/>
    </xf>
    <xf numFmtId="0" fontId="46" fillId="0" borderId="0" xfId="0" applyFont="1" applyAlignment="1">
      <alignment horizontal="center"/>
    </xf>
    <xf numFmtId="0" fontId="2" fillId="7" borderId="10" xfId="0" applyFont="1" applyFill="1" applyBorder="1" applyAlignment="1">
      <alignment horizontal="justify" vertical="justify"/>
    </xf>
    <xf numFmtId="0" fontId="40" fillId="7" borderId="10" xfId="0" applyFont="1" applyFill="1" applyBorder="1" applyAlignment="1">
      <alignment/>
    </xf>
    <xf numFmtId="0" fontId="40" fillId="7" borderId="10" xfId="0" applyFont="1" applyFill="1" applyBorder="1" applyAlignment="1">
      <alignment/>
    </xf>
    <xf numFmtId="0" fontId="40" fillId="7" borderId="10" xfId="0" applyFont="1" applyFill="1" applyBorder="1" applyAlignment="1">
      <alignment horizontal="justify"/>
    </xf>
    <xf numFmtId="0" fontId="41" fillId="7" borderId="10" xfId="0" applyFont="1" applyFill="1" applyBorder="1" applyAlignment="1">
      <alignment/>
    </xf>
    <xf numFmtId="0" fontId="42" fillId="7" borderId="10" xfId="0" applyFont="1" applyFill="1" applyBorder="1" applyAlignment="1">
      <alignment/>
    </xf>
    <xf numFmtId="0" fontId="42" fillId="7" borderId="10" xfId="0" applyFont="1" applyFill="1" applyBorder="1" applyAlignment="1">
      <alignment wrapText="1"/>
    </xf>
    <xf numFmtId="0" fontId="2" fillId="7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25" borderId="24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top"/>
    </xf>
    <xf numFmtId="0" fontId="20" fillId="25" borderId="16" xfId="0" applyFont="1" applyFill="1" applyBorder="1" applyAlignment="1">
      <alignment vertical="top"/>
    </xf>
    <xf numFmtId="0" fontId="20" fillId="25" borderId="16" xfId="0" applyFont="1" applyFill="1" applyBorder="1" applyAlignment="1">
      <alignment horizontal="left" vertical="top"/>
    </xf>
    <xf numFmtId="0" fontId="20" fillId="25" borderId="24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0" fillId="20" borderId="25" xfId="0" applyFill="1" applyBorder="1" applyAlignment="1">
      <alignment horizontal="center"/>
    </xf>
    <xf numFmtId="0" fontId="0" fillId="20" borderId="26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41" fontId="45" fillId="25" borderId="17" xfId="0" applyNumberFormat="1" applyFont="1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41" fontId="0" fillId="20" borderId="19" xfId="0" applyNumberFormat="1" applyFill="1" applyBorder="1" applyAlignment="1">
      <alignment/>
    </xf>
    <xf numFmtId="41" fontId="0" fillId="0" borderId="21" xfId="0" applyNumberFormat="1" applyBorder="1" applyAlignment="1" quotePrefix="1">
      <alignment/>
    </xf>
    <xf numFmtId="3" fontId="2" fillId="0" borderId="0" xfId="0" applyNumberFormat="1" applyFont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1" fontId="2" fillId="24" borderId="10" xfId="0" applyNumberFormat="1" applyFont="1" applyFill="1" applyBorder="1" applyAlignment="1">
      <alignment/>
    </xf>
    <xf numFmtId="171" fontId="2" fillId="24" borderId="10" xfId="42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4" xfId="44"/>
    <cellStyle name="Comma 1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rmal 2 2 27" xfId="60"/>
    <cellStyle name="Normal 3 10" xfId="61"/>
    <cellStyle name="Normal_RENJA 2011 BERDASAR MUSRENBANG-20 Maret" xfId="62"/>
    <cellStyle name="Normal_renja skpd 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9"/>
  <sheetViews>
    <sheetView tabSelected="1" zoomScale="80" zoomScaleNormal="80" zoomScalePageLayoutView="0" workbookViewId="0" topLeftCell="A1">
      <pane ySplit="5" topLeftCell="BM127" activePane="bottomLeft" state="frozen"/>
      <selection pane="topLeft" activeCell="A1" sqref="A1"/>
      <selection pane="bottomLeft" activeCell="A160" sqref="A160"/>
    </sheetView>
  </sheetViews>
  <sheetFormatPr defaultColWidth="9.140625" defaultRowHeight="12.75"/>
  <cols>
    <col min="1" max="1" width="72.28125" style="2" customWidth="1"/>
    <col min="2" max="2" width="13.57421875" style="65" bestFit="1" customWidth="1"/>
    <col min="3" max="3" width="16.421875" style="65" bestFit="1" customWidth="1"/>
    <col min="4" max="4" width="9.140625" style="2" customWidth="1"/>
    <col min="5" max="5" width="15.8515625" style="2" customWidth="1"/>
    <col min="6" max="8" width="16.28125" style="2" customWidth="1"/>
    <col min="9" max="9" width="13.57421875" style="65" customWidth="1"/>
    <col min="10" max="10" width="9.140625" style="2" customWidth="1"/>
    <col min="11" max="11" width="15.140625" style="2" customWidth="1"/>
    <col min="12" max="14" width="16.28125" style="2" customWidth="1"/>
    <col min="15" max="15" width="15.140625" style="2" customWidth="1"/>
    <col min="16" max="16" width="9.140625" style="2" customWidth="1"/>
    <col min="17" max="20" width="16.28125" style="2" customWidth="1"/>
    <col min="21" max="21" width="16.28125" style="2" bestFit="1" customWidth="1"/>
    <col min="22" max="22" width="13.421875" style="21" bestFit="1" customWidth="1"/>
    <col min="23" max="16384" width="9.140625" style="21" customWidth="1"/>
  </cols>
  <sheetData>
    <row r="1" spans="1:21" ht="12.75">
      <c r="A1" s="286" t="s">
        <v>148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14"/>
      <c r="S1" s="14"/>
      <c r="T1" s="14"/>
      <c r="U1" s="54"/>
    </row>
    <row r="2" spans="1:21" ht="12.75">
      <c r="A2" s="50"/>
      <c r="B2" s="105"/>
      <c r="C2" s="105"/>
      <c r="D2" s="21"/>
      <c r="E2" s="21"/>
      <c r="F2" s="21"/>
      <c r="G2" s="21"/>
      <c r="H2" s="21"/>
      <c r="I2" s="105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2.75">
      <c r="A3" s="285" t="s">
        <v>4</v>
      </c>
      <c r="B3" s="106"/>
      <c r="C3" s="106"/>
      <c r="D3" s="285" t="s">
        <v>176</v>
      </c>
      <c r="E3" s="285"/>
      <c r="F3" s="285"/>
      <c r="G3" s="285"/>
      <c r="H3" s="285"/>
      <c r="I3" s="285"/>
      <c r="J3" s="285" t="s">
        <v>174</v>
      </c>
      <c r="K3" s="285"/>
      <c r="L3" s="285"/>
      <c r="M3" s="285"/>
      <c r="N3" s="285"/>
      <c r="O3" s="285"/>
      <c r="P3" s="285" t="s">
        <v>175</v>
      </c>
      <c r="Q3" s="285"/>
      <c r="R3" s="285"/>
      <c r="S3" s="285"/>
      <c r="T3" s="285"/>
      <c r="U3" s="285"/>
    </row>
    <row r="4" spans="1:21" ht="12.75">
      <c r="A4" s="285"/>
      <c r="B4" s="106"/>
      <c r="C4" s="106"/>
      <c r="D4" s="45" t="s">
        <v>0</v>
      </c>
      <c r="E4" s="285" t="s">
        <v>1</v>
      </c>
      <c r="F4" s="285"/>
      <c r="G4" s="285"/>
      <c r="H4" s="285"/>
      <c r="I4" s="106" t="s">
        <v>2</v>
      </c>
      <c r="J4" s="285" t="s">
        <v>0</v>
      </c>
      <c r="K4" s="285" t="s">
        <v>1</v>
      </c>
      <c r="L4" s="285"/>
      <c r="M4" s="285"/>
      <c r="N4" s="285"/>
      <c r="O4" s="285" t="s">
        <v>2</v>
      </c>
      <c r="P4" s="285" t="s">
        <v>0</v>
      </c>
      <c r="Q4" s="285" t="s">
        <v>1</v>
      </c>
      <c r="R4" s="285"/>
      <c r="S4" s="285"/>
      <c r="T4" s="285"/>
      <c r="U4" s="285" t="s">
        <v>2</v>
      </c>
    </row>
    <row r="5" spans="1:21" ht="12.75">
      <c r="A5" s="39"/>
      <c r="B5" s="107"/>
      <c r="C5" s="107"/>
      <c r="D5" s="39"/>
      <c r="E5" s="46" t="s">
        <v>170</v>
      </c>
      <c r="F5" s="46" t="s">
        <v>171</v>
      </c>
      <c r="G5" s="46" t="s">
        <v>172</v>
      </c>
      <c r="H5" s="46" t="s">
        <v>173</v>
      </c>
      <c r="I5" s="130"/>
      <c r="J5" s="285"/>
      <c r="K5" s="46" t="s">
        <v>170</v>
      </c>
      <c r="L5" s="46" t="s">
        <v>171</v>
      </c>
      <c r="M5" s="46" t="s">
        <v>172</v>
      </c>
      <c r="N5" s="46" t="s">
        <v>173</v>
      </c>
      <c r="O5" s="285"/>
      <c r="P5" s="285"/>
      <c r="Q5" s="46" t="s">
        <v>170</v>
      </c>
      <c r="R5" s="46" t="s">
        <v>171</v>
      </c>
      <c r="S5" s="46" t="s">
        <v>172</v>
      </c>
      <c r="T5" s="46" t="s">
        <v>173</v>
      </c>
      <c r="U5" s="285"/>
    </row>
    <row r="6" spans="1:3" ht="12.75">
      <c r="A6" s="86" t="s">
        <v>242</v>
      </c>
      <c r="B6" s="108"/>
      <c r="C6" s="108"/>
    </row>
    <row r="7" spans="1:3" ht="25.5">
      <c r="A7" s="9" t="s">
        <v>241</v>
      </c>
      <c r="B7" s="109"/>
      <c r="C7" s="109"/>
    </row>
    <row r="8" spans="1:3" ht="12.75">
      <c r="A8" s="37" t="s">
        <v>163</v>
      </c>
      <c r="B8" s="109"/>
      <c r="C8" s="127"/>
    </row>
    <row r="9" spans="1:14" ht="12.75">
      <c r="A9" s="37" t="s">
        <v>149</v>
      </c>
      <c r="B9" s="109"/>
      <c r="C9" s="127"/>
      <c r="I9" s="109"/>
      <c r="N9" s="109"/>
    </row>
    <row r="10" spans="1:14" ht="12.75">
      <c r="A10" s="37" t="s">
        <v>150</v>
      </c>
      <c r="B10" s="109">
        <v>8400000</v>
      </c>
      <c r="C10" s="127">
        <f aca="true" t="shared" si="0" ref="C10:C69">SUM(D10:U10)</f>
        <v>16800000</v>
      </c>
      <c r="I10" s="109">
        <v>8400000</v>
      </c>
      <c r="N10" s="109">
        <v>8400000</v>
      </c>
    </row>
    <row r="11" spans="1:14" ht="12.75">
      <c r="A11" s="37" t="s">
        <v>151</v>
      </c>
      <c r="B11" s="109">
        <v>2400000</v>
      </c>
      <c r="C11" s="127">
        <f t="shared" si="0"/>
        <v>4800000</v>
      </c>
      <c r="I11" s="109">
        <v>2400000</v>
      </c>
      <c r="N11" s="109">
        <v>2400000</v>
      </c>
    </row>
    <row r="12" spans="1:14" ht="12.75">
      <c r="A12" s="37" t="s">
        <v>152</v>
      </c>
      <c r="B12" s="109">
        <v>3120000</v>
      </c>
      <c r="C12" s="127">
        <f t="shared" si="0"/>
        <v>6240000</v>
      </c>
      <c r="I12" s="109">
        <v>3120000</v>
      </c>
      <c r="N12" s="109">
        <v>3120000</v>
      </c>
    </row>
    <row r="13" spans="1:14" ht="12.75">
      <c r="A13" s="37" t="s">
        <v>153</v>
      </c>
      <c r="B13" s="109">
        <v>5600000</v>
      </c>
      <c r="C13" s="127">
        <f t="shared" si="0"/>
        <v>11200000</v>
      </c>
      <c r="I13" s="109">
        <v>5600000</v>
      </c>
      <c r="N13" s="109">
        <v>5600000</v>
      </c>
    </row>
    <row r="14" spans="1:14" ht="12.75">
      <c r="A14" s="37" t="s">
        <v>154</v>
      </c>
      <c r="B14" s="109">
        <v>5600000</v>
      </c>
      <c r="C14" s="127">
        <f t="shared" si="0"/>
        <v>11200000</v>
      </c>
      <c r="I14" s="109">
        <v>5600000</v>
      </c>
      <c r="N14" s="109">
        <v>5600000</v>
      </c>
    </row>
    <row r="15" spans="1:14" ht="12.75">
      <c r="A15" s="37" t="s">
        <v>155</v>
      </c>
      <c r="B15" s="109">
        <v>1275000</v>
      </c>
      <c r="C15" s="127">
        <f t="shared" si="0"/>
        <v>2550000</v>
      </c>
      <c r="I15" s="109">
        <v>1275000</v>
      </c>
      <c r="N15" s="109">
        <v>1275000</v>
      </c>
    </row>
    <row r="16" spans="1:14" ht="12.75">
      <c r="A16" s="37" t="s">
        <v>164</v>
      </c>
      <c r="B16" s="109"/>
      <c r="C16" s="127"/>
      <c r="I16" s="109"/>
      <c r="N16" s="109"/>
    </row>
    <row r="17" spans="1:14" ht="12.75">
      <c r="A17" s="37" t="s">
        <v>149</v>
      </c>
      <c r="B17" s="109"/>
      <c r="C17" s="127"/>
      <c r="F17" s="2" t="s">
        <v>474</v>
      </c>
      <c r="I17" s="109"/>
      <c r="N17" s="109"/>
    </row>
    <row r="18" spans="1:14" ht="12.75">
      <c r="A18" s="37" t="s">
        <v>156</v>
      </c>
      <c r="B18" s="109">
        <v>30000000</v>
      </c>
      <c r="C18" s="127">
        <f t="shared" si="0"/>
        <v>60000000</v>
      </c>
      <c r="I18" s="109">
        <v>30000000</v>
      </c>
      <c r="N18" s="109">
        <v>30000000</v>
      </c>
    </row>
    <row r="19" spans="1:14" ht="12.75">
      <c r="A19" s="37" t="s">
        <v>157</v>
      </c>
      <c r="B19" s="109">
        <v>6000000</v>
      </c>
      <c r="C19" s="127">
        <f t="shared" si="0"/>
        <v>12000000</v>
      </c>
      <c r="I19" s="109">
        <v>6000000</v>
      </c>
      <c r="N19" s="109">
        <v>6000000</v>
      </c>
    </row>
    <row r="20" spans="1:14" ht="12.75">
      <c r="A20" s="37" t="s">
        <v>153</v>
      </c>
      <c r="B20" s="109">
        <v>3360000</v>
      </c>
      <c r="C20" s="127">
        <f t="shared" si="0"/>
        <v>6720000</v>
      </c>
      <c r="I20" s="109">
        <v>3360000</v>
      </c>
      <c r="N20" s="109">
        <v>3360000</v>
      </c>
    </row>
    <row r="21" spans="1:14" ht="12.75">
      <c r="A21" s="37" t="s">
        <v>154</v>
      </c>
      <c r="B21" s="109">
        <v>3360000</v>
      </c>
      <c r="C21" s="127">
        <f t="shared" si="0"/>
        <v>6720000</v>
      </c>
      <c r="I21" s="109">
        <v>3360000</v>
      </c>
      <c r="N21" s="109">
        <v>3360000</v>
      </c>
    </row>
    <row r="22" spans="1:14" ht="12.75">
      <c r="A22" s="37" t="s">
        <v>155</v>
      </c>
      <c r="B22" s="109">
        <v>1275000</v>
      </c>
      <c r="C22" s="127">
        <f t="shared" si="0"/>
        <v>2550000</v>
      </c>
      <c r="I22" s="109">
        <v>1275000</v>
      </c>
      <c r="N22" s="109">
        <v>1275000</v>
      </c>
    </row>
    <row r="23" spans="1:14" ht="12.75">
      <c r="A23" s="37" t="s">
        <v>165</v>
      </c>
      <c r="B23" s="109"/>
      <c r="C23" s="127"/>
      <c r="I23" s="109"/>
      <c r="N23" s="109"/>
    </row>
    <row r="24" spans="1:14" ht="12.75">
      <c r="A24" s="37" t="s">
        <v>149</v>
      </c>
      <c r="B24" s="109"/>
      <c r="C24" s="127"/>
      <c r="I24" s="109"/>
      <c r="N24" s="109"/>
    </row>
    <row r="25" spans="1:14" ht="12.75">
      <c r="A25" s="37" t="s">
        <v>156</v>
      </c>
      <c r="B25" s="109">
        <v>25000000</v>
      </c>
      <c r="C25" s="127">
        <f t="shared" si="0"/>
        <v>50000000</v>
      </c>
      <c r="I25" s="109">
        <v>25000000</v>
      </c>
      <c r="N25" s="109">
        <v>25000000</v>
      </c>
    </row>
    <row r="26" spans="1:14" ht="12.75">
      <c r="A26" s="37" t="s">
        <v>157</v>
      </c>
      <c r="B26" s="109">
        <v>3750000</v>
      </c>
      <c r="C26" s="127">
        <f t="shared" si="0"/>
        <v>7500000</v>
      </c>
      <c r="I26" s="109">
        <v>3750000</v>
      </c>
      <c r="N26" s="109">
        <v>3750000</v>
      </c>
    </row>
    <row r="27" spans="1:14" ht="12.75">
      <c r="A27" s="37" t="s">
        <v>153</v>
      </c>
      <c r="B27" s="109">
        <v>2600000</v>
      </c>
      <c r="C27" s="127">
        <f t="shared" si="0"/>
        <v>5200000</v>
      </c>
      <c r="I27" s="109">
        <v>2600000</v>
      </c>
      <c r="N27" s="109">
        <v>2600000</v>
      </c>
    </row>
    <row r="28" spans="1:14" ht="12.75">
      <c r="A28" s="37" t="s">
        <v>154</v>
      </c>
      <c r="B28" s="109">
        <v>2600000</v>
      </c>
      <c r="C28" s="127">
        <f t="shared" si="0"/>
        <v>5200000</v>
      </c>
      <c r="I28" s="109">
        <v>2600000</v>
      </c>
      <c r="N28" s="109">
        <v>2600000</v>
      </c>
    </row>
    <row r="29" spans="1:14" ht="12.75">
      <c r="A29" s="37" t="s">
        <v>155</v>
      </c>
      <c r="B29" s="109">
        <v>1530000</v>
      </c>
      <c r="C29" s="127">
        <f t="shared" si="0"/>
        <v>3060000</v>
      </c>
      <c r="I29" s="109">
        <v>1530000</v>
      </c>
      <c r="N29" s="109">
        <v>1530000</v>
      </c>
    </row>
    <row r="30" spans="1:14" ht="12.75">
      <c r="A30" s="37" t="s">
        <v>264</v>
      </c>
      <c r="B30" s="109"/>
      <c r="C30" s="127"/>
      <c r="E30" s="109"/>
      <c r="N30" s="109"/>
    </row>
    <row r="31" spans="1:14" ht="12.75">
      <c r="A31" s="37" t="s">
        <v>149</v>
      </c>
      <c r="B31" s="109"/>
      <c r="C31" s="127"/>
      <c r="E31" s="109"/>
      <c r="N31" s="109"/>
    </row>
    <row r="32" spans="1:14" ht="12.75">
      <c r="A32" s="37" t="s">
        <v>156</v>
      </c>
      <c r="B32" s="109">
        <v>30000000</v>
      </c>
      <c r="C32" s="127">
        <f t="shared" si="0"/>
        <v>30000000</v>
      </c>
      <c r="I32" s="109"/>
      <c r="N32" s="109">
        <v>30000000</v>
      </c>
    </row>
    <row r="33" spans="1:14" ht="12.75">
      <c r="A33" s="37" t="s">
        <v>157</v>
      </c>
      <c r="B33" s="109">
        <v>4500000</v>
      </c>
      <c r="C33" s="127">
        <f t="shared" si="0"/>
        <v>4500000</v>
      </c>
      <c r="I33" s="109"/>
      <c r="N33" s="109">
        <v>4500000</v>
      </c>
    </row>
    <row r="34" spans="1:14" ht="12.75">
      <c r="A34" s="37" t="s">
        <v>153</v>
      </c>
      <c r="B34" s="109">
        <v>3120000</v>
      </c>
      <c r="C34" s="127">
        <f t="shared" si="0"/>
        <v>3120000</v>
      </c>
      <c r="I34" s="109"/>
      <c r="N34" s="109">
        <v>3120000</v>
      </c>
    </row>
    <row r="35" spans="1:14" ht="12.75">
      <c r="A35" s="37" t="s">
        <v>154</v>
      </c>
      <c r="B35" s="109">
        <v>3120000</v>
      </c>
      <c r="C35" s="127">
        <f t="shared" si="0"/>
        <v>3120000</v>
      </c>
      <c r="I35" s="109"/>
      <c r="N35" s="109">
        <v>3120000</v>
      </c>
    </row>
    <row r="36" spans="1:14" ht="12.75">
      <c r="A36" s="37" t="s">
        <v>155</v>
      </c>
      <c r="B36" s="109">
        <v>1530000</v>
      </c>
      <c r="C36" s="127">
        <f t="shared" si="0"/>
        <v>1530000</v>
      </c>
      <c r="I36" s="109"/>
      <c r="N36" s="109">
        <v>1530000</v>
      </c>
    </row>
    <row r="37" spans="1:8" ht="25.5">
      <c r="A37" s="37" t="s">
        <v>262</v>
      </c>
      <c r="B37" s="109"/>
      <c r="C37" s="127"/>
      <c r="E37" s="109"/>
      <c r="H37" s="109"/>
    </row>
    <row r="38" spans="1:8" ht="12.75">
      <c r="A38" s="37" t="s">
        <v>149</v>
      </c>
      <c r="B38" s="109"/>
      <c r="C38" s="127"/>
      <c r="E38" s="109"/>
      <c r="H38" s="109"/>
    </row>
    <row r="39" spans="1:8" ht="12.75">
      <c r="A39" s="37" t="s">
        <v>156</v>
      </c>
      <c r="B39" s="129">
        <v>33170000</v>
      </c>
      <c r="C39" s="127">
        <f t="shared" si="0"/>
        <v>33170000</v>
      </c>
      <c r="E39" s="109">
        <f>37500000-4330000</f>
        <v>33170000</v>
      </c>
      <c r="H39" s="109"/>
    </row>
    <row r="40" spans="1:8" ht="12.75">
      <c r="A40" s="37" t="s">
        <v>157</v>
      </c>
      <c r="B40" s="109">
        <v>7500000</v>
      </c>
      <c r="C40" s="127">
        <f t="shared" si="0"/>
        <v>7500000</v>
      </c>
      <c r="E40" s="109">
        <v>7500000</v>
      </c>
      <c r="H40" s="109"/>
    </row>
    <row r="41" spans="1:8" ht="12.75">
      <c r="A41" s="37" t="s">
        <v>153</v>
      </c>
      <c r="B41" s="109">
        <v>3900000</v>
      </c>
      <c r="C41" s="127">
        <f t="shared" si="0"/>
        <v>3900000</v>
      </c>
      <c r="E41" s="109">
        <v>3900000</v>
      </c>
      <c r="H41" s="109"/>
    </row>
    <row r="42" spans="1:8" ht="12.75">
      <c r="A42" s="37" t="s">
        <v>154</v>
      </c>
      <c r="B42" s="109">
        <v>3900000</v>
      </c>
      <c r="C42" s="127">
        <f t="shared" si="0"/>
        <v>3900000</v>
      </c>
      <c r="E42" s="109">
        <v>3900000</v>
      </c>
      <c r="H42" s="109"/>
    </row>
    <row r="43" spans="1:8" ht="12.75">
      <c r="A43" s="37" t="s">
        <v>155</v>
      </c>
      <c r="B43" s="109">
        <v>1530000</v>
      </c>
      <c r="C43" s="127">
        <f t="shared" si="0"/>
        <v>1530000</v>
      </c>
      <c r="E43" s="109">
        <v>1530000</v>
      </c>
      <c r="H43" s="109"/>
    </row>
    <row r="44" spans="1:8" ht="25.5">
      <c r="A44" s="37" t="s">
        <v>263</v>
      </c>
      <c r="B44" s="109"/>
      <c r="C44" s="127"/>
      <c r="E44" s="109"/>
      <c r="H44" s="109"/>
    </row>
    <row r="45" spans="1:8" ht="12.75">
      <c r="A45" s="37" t="s">
        <v>149</v>
      </c>
      <c r="B45" s="109"/>
      <c r="C45" s="127"/>
      <c r="E45" s="109"/>
      <c r="H45" s="109"/>
    </row>
    <row r="46" spans="1:14" ht="12.75">
      <c r="A46" s="37" t="s">
        <v>156</v>
      </c>
      <c r="B46" s="109">
        <v>30000000</v>
      </c>
      <c r="C46" s="127">
        <f t="shared" si="0"/>
        <v>30000000</v>
      </c>
      <c r="H46" s="109"/>
      <c r="I46" s="109"/>
      <c r="N46" s="109">
        <v>30000000</v>
      </c>
    </row>
    <row r="47" spans="1:14" ht="12.75">
      <c r="A47" s="37" t="s">
        <v>157</v>
      </c>
      <c r="B47" s="109">
        <v>7500000</v>
      </c>
      <c r="C47" s="127">
        <f t="shared" si="0"/>
        <v>7500000</v>
      </c>
      <c r="H47" s="109"/>
      <c r="I47" s="109"/>
      <c r="N47" s="109">
        <v>7500000</v>
      </c>
    </row>
    <row r="48" spans="1:21" s="42" customFormat="1" ht="12.75">
      <c r="A48" s="171" t="s">
        <v>153</v>
      </c>
      <c r="B48" s="129">
        <f>3600000+4430000</f>
        <v>8030000</v>
      </c>
      <c r="C48" s="138">
        <f t="shared" si="0"/>
        <v>8030000</v>
      </c>
      <c r="D48" s="39"/>
      <c r="E48" s="39"/>
      <c r="F48" s="39"/>
      <c r="G48" s="39"/>
      <c r="H48" s="129"/>
      <c r="I48" s="129"/>
      <c r="J48" s="39"/>
      <c r="K48" s="39"/>
      <c r="L48" s="39"/>
      <c r="M48" s="39"/>
      <c r="N48" s="129">
        <f>3600000+4430000</f>
        <v>8030000</v>
      </c>
      <c r="O48" s="39"/>
      <c r="P48" s="39"/>
      <c r="Q48" s="39"/>
      <c r="R48" s="39"/>
      <c r="S48" s="39"/>
      <c r="T48" s="39"/>
      <c r="U48" s="39"/>
    </row>
    <row r="49" spans="1:14" ht="12.75">
      <c r="A49" s="37" t="s">
        <v>154</v>
      </c>
      <c r="B49" s="109">
        <v>4800000</v>
      </c>
      <c r="C49" s="127">
        <f t="shared" si="0"/>
        <v>4800000</v>
      </c>
      <c r="H49" s="109"/>
      <c r="I49" s="109"/>
      <c r="N49" s="109">
        <v>4800000</v>
      </c>
    </row>
    <row r="50" spans="1:14" ht="12.75">
      <c r="A50" s="37" t="s">
        <v>155</v>
      </c>
      <c r="B50" s="109">
        <v>1530000</v>
      </c>
      <c r="C50" s="127">
        <f t="shared" si="0"/>
        <v>1530000</v>
      </c>
      <c r="H50" s="109"/>
      <c r="I50" s="109"/>
      <c r="N50" s="109">
        <v>1530000</v>
      </c>
    </row>
    <row r="51" spans="1:21" s="93" customFormat="1" ht="12.75">
      <c r="A51" s="91" t="s">
        <v>158</v>
      </c>
      <c r="B51" s="132">
        <f>SUM(B8:B50)</f>
        <v>250000000</v>
      </c>
      <c r="C51" s="132">
        <f t="shared" si="0"/>
        <v>355870000</v>
      </c>
      <c r="D51" s="73"/>
      <c r="E51" s="133">
        <f>SUM(E10:E50)</f>
        <v>50000000</v>
      </c>
      <c r="F51" s="92"/>
      <c r="G51" s="134"/>
      <c r="H51" s="132">
        <f>SUM(H10:H50)</f>
        <v>0</v>
      </c>
      <c r="I51" s="132">
        <f>SUM(I10:I50)</f>
        <v>105870000</v>
      </c>
      <c r="J51" s="132">
        <f>SUM(J10:J50)</f>
        <v>0</v>
      </c>
      <c r="K51" s="132">
        <f aca="true" t="shared" si="1" ref="K51:U51">SUM(K10:K50)</f>
        <v>0</v>
      </c>
      <c r="L51" s="132">
        <f t="shared" si="1"/>
        <v>0</v>
      </c>
      <c r="M51" s="132">
        <f t="shared" si="1"/>
        <v>0</v>
      </c>
      <c r="N51" s="132">
        <f t="shared" si="1"/>
        <v>200000000</v>
      </c>
      <c r="O51" s="132">
        <f t="shared" si="1"/>
        <v>0</v>
      </c>
      <c r="P51" s="132">
        <f t="shared" si="1"/>
        <v>0</v>
      </c>
      <c r="Q51" s="132">
        <f t="shared" si="1"/>
        <v>0</v>
      </c>
      <c r="R51" s="132">
        <f t="shared" si="1"/>
        <v>0</v>
      </c>
      <c r="S51" s="132">
        <f t="shared" si="1"/>
        <v>0</v>
      </c>
      <c r="T51" s="132">
        <f t="shared" si="1"/>
        <v>0</v>
      </c>
      <c r="U51" s="132">
        <f t="shared" si="1"/>
        <v>0</v>
      </c>
    </row>
    <row r="52" spans="1:3" ht="12.75">
      <c r="A52" s="79"/>
      <c r="B52" s="111"/>
      <c r="C52" s="127"/>
    </row>
    <row r="53" spans="1:3" ht="12.75">
      <c r="A53" s="79"/>
      <c r="B53" s="111"/>
      <c r="C53" s="127"/>
    </row>
    <row r="54" spans="1:3" ht="12.75">
      <c r="A54" s="34"/>
      <c r="B54" s="109"/>
      <c r="C54" s="127"/>
    </row>
    <row r="55" spans="1:3" ht="25.5">
      <c r="A55" s="28" t="s">
        <v>243</v>
      </c>
      <c r="B55" s="109"/>
      <c r="C55" s="127"/>
    </row>
    <row r="56" spans="1:20" ht="12.75">
      <c r="A56" s="37" t="s">
        <v>275</v>
      </c>
      <c r="B56" s="109"/>
      <c r="C56" s="127"/>
      <c r="T56" s="109"/>
    </row>
    <row r="57" spans="1:20" ht="12.75">
      <c r="A57" s="38" t="s">
        <v>149</v>
      </c>
      <c r="B57" s="109"/>
      <c r="C57" s="127"/>
      <c r="E57" s="109"/>
      <c r="G57" s="109"/>
      <c r="H57" s="109"/>
      <c r="M57" s="109"/>
      <c r="T57" s="109"/>
    </row>
    <row r="58" spans="1:20" ht="12.75">
      <c r="A58" s="38" t="s">
        <v>156</v>
      </c>
      <c r="B58" s="109">
        <v>32000000</v>
      </c>
      <c r="C58" s="127">
        <f t="shared" si="0"/>
        <v>108000000</v>
      </c>
      <c r="E58" s="109">
        <v>12000000</v>
      </c>
      <c r="G58" s="109">
        <v>32000000</v>
      </c>
      <c r="H58" s="109"/>
      <c r="M58" s="109">
        <v>32000000</v>
      </c>
      <c r="T58" s="109">
        <v>32000000</v>
      </c>
    </row>
    <row r="59" spans="1:20" ht="12.75">
      <c r="A59" s="38" t="s">
        <v>157</v>
      </c>
      <c r="B59" s="109">
        <v>6000000</v>
      </c>
      <c r="C59" s="127">
        <f t="shared" si="0"/>
        <v>24000000</v>
      </c>
      <c r="E59" s="109">
        <v>6000000</v>
      </c>
      <c r="G59" s="109">
        <v>6000000</v>
      </c>
      <c r="H59" s="109"/>
      <c r="M59" s="109">
        <v>6000000</v>
      </c>
      <c r="T59" s="109">
        <v>6000000</v>
      </c>
    </row>
    <row r="60" spans="1:20" ht="12.75">
      <c r="A60" s="38" t="s">
        <v>153</v>
      </c>
      <c r="B60" s="109">
        <v>3520000</v>
      </c>
      <c r="C60" s="127">
        <f t="shared" si="0"/>
        <v>14080000</v>
      </c>
      <c r="E60" s="109">
        <v>3520000</v>
      </c>
      <c r="G60" s="109">
        <v>3520000</v>
      </c>
      <c r="H60" s="109"/>
      <c r="M60" s="109">
        <v>3520000</v>
      </c>
      <c r="T60" s="109">
        <v>3520000</v>
      </c>
    </row>
    <row r="61" spans="1:20" ht="12.75">
      <c r="A61" s="38" t="s">
        <v>154</v>
      </c>
      <c r="B61" s="109">
        <v>4480000</v>
      </c>
      <c r="C61" s="127">
        <f t="shared" si="0"/>
        <v>17920000</v>
      </c>
      <c r="E61" s="109">
        <v>4480000</v>
      </c>
      <c r="G61" s="109">
        <v>4480000</v>
      </c>
      <c r="H61" s="109"/>
      <c r="M61" s="109">
        <v>4480000</v>
      </c>
      <c r="T61" s="109">
        <v>4480000</v>
      </c>
    </row>
    <row r="62" spans="1:20" ht="12.75">
      <c r="A62" s="38" t="s">
        <v>155</v>
      </c>
      <c r="B62" s="109">
        <v>1530000</v>
      </c>
      <c r="C62" s="127">
        <f t="shared" si="0"/>
        <v>6120000</v>
      </c>
      <c r="E62" s="109">
        <v>1530000</v>
      </c>
      <c r="G62" s="109">
        <v>1530000</v>
      </c>
      <c r="H62" s="109"/>
      <c r="M62" s="109">
        <v>1530000</v>
      </c>
      <c r="T62" s="109">
        <v>1530000</v>
      </c>
    </row>
    <row r="63" spans="1:20" ht="12.75">
      <c r="A63" s="37" t="s">
        <v>276</v>
      </c>
      <c r="B63" s="109"/>
      <c r="C63" s="127"/>
      <c r="E63" s="109"/>
      <c r="G63" s="109"/>
      <c r="H63" s="109"/>
      <c r="M63" s="109"/>
      <c r="T63" s="109"/>
    </row>
    <row r="64" spans="1:20" ht="12.75">
      <c r="A64" s="38" t="s">
        <v>149</v>
      </c>
      <c r="B64" s="109"/>
      <c r="C64" s="127"/>
      <c r="E64" s="109"/>
      <c r="G64" s="109"/>
      <c r="H64" s="109"/>
      <c r="M64" s="109"/>
      <c r="T64" s="109"/>
    </row>
    <row r="65" spans="1:20" ht="12.75">
      <c r="A65" s="38" t="s">
        <v>156</v>
      </c>
      <c r="B65" s="109">
        <v>20000000</v>
      </c>
      <c r="C65" s="127">
        <f t="shared" si="0"/>
        <v>67900000</v>
      </c>
      <c r="E65" s="109">
        <f>10000000-2100000</f>
        <v>7900000</v>
      </c>
      <c r="G65" s="109">
        <v>20000000</v>
      </c>
      <c r="H65" s="109"/>
      <c r="M65" s="109">
        <v>20000000</v>
      </c>
      <c r="T65" s="109">
        <v>20000000</v>
      </c>
    </row>
    <row r="66" spans="1:20" ht="12.75">
      <c r="A66" s="38" t="s">
        <v>157</v>
      </c>
      <c r="B66" s="109">
        <v>6000000</v>
      </c>
      <c r="C66" s="127">
        <f t="shared" si="0"/>
        <v>24000000</v>
      </c>
      <c r="E66" s="109">
        <v>6000000</v>
      </c>
      <c r="G66" s="109">
        <v>6000000</v>
      </c>
      <c r="H66" s="109"/>
      <c r="M66" s="109">
        <v>6000000</v>
      </c>
      <c r="T66" s="109">
        <v>6000000</v>
      </c>
    </row>
    <row r="67" spans="1:20" ht="12.75">
      <c r="A67" s="38" t="s">
        <v>153</v>
      </c>
      <c r="B67" s="109">
        <v>3520000</v>
      </c>
      <c r="C67" s="127">
        <f t="shared" si="0"/>
        <v>14080000</v>
      </c>
      <c r="E67" s="109">
        <v>3520000</v>
      </c>
      <c r="G67" s="109">
        <v>3520000</v>
      </c>
      <c r="H67" s="109"/>
      <c r="M67" s="109">
        <v>3520000</v>
      </c>
      <c r="T67" s="109">
        <v>3520000</v>
      </c>
    </row>
    <row r="68" spans="1:20" ht="12.75">
      <c r="A68" s="38" t="s">
        <v>154</v>
      </c>
      <c r="B68" s="109">
        <v>3520000</v>
      </c>
      <c r="C68" s="127">
        <f t="shared" si="0"/>
        <v>14080000</v>
      </c>
      <c r="E68" s="109">
        <v>3520000</v>
      </c>
      <c r="G68" s="109">
        <v>3520000</v>
      </c>
      <c r="H68" s="109"/>
      <c r="M68" s="109">
        <v>3520000</v>
      </c>
      <c r="T68" s="109">
        <v>3520000</v>
      </c>
    </row>
    <row r="69" spans="1:20" ht="12.75">
      <c r="A69" s="38" t="s">
        <v>155</v>
      </c>
      <c r="B69" s="109">
        <v>1530000</v>
      </c>
      <c r="C69" s="127">
        <f t="shared" si="0"/>
        <v>6120000</v>
      </c>
      <c r="E69" s="109">
        <v>1530000</v>
      </c>
      <c r="G69" s="109">
        <v>1530000</v>
      </c>
      <c r="H69" s="109"/>
      <c r="M69" s="109">
        <v>1530000</v>
      </c>
      <c r="T69" s="109">
        <v>1530000</v>
      </c>
    </row>
    <row r="70" spans="1:11" ht="25.5">
      <c r="A70" s="37" t="s">
        <v>267</v>
      </c>
      <c r="B70" s="109"/>
      <c r="C70" s="127"/>
      <c r="G70" s="109"/>
      <c r="H70" s="109"/>
      <c r="K70" s="109"/>
    </row>
    <row r="71" spans="1:11" ht="12.75">
      <c r="A71" s="38" t="s">
        <v>149</v>
      </c>
      <c r="B71" s="109"/>
      <c r="C71" s="127"/>
      <c r="G71" s="109"/>
      <c r="H71" s="109"/>
      <c r="K71" s="109"/>
    </row>
    <row r="72" spans="1:15" ht="12.75">
      <c r="A72" s="38" t="s">
        <v>156</v>
      </c>
      <c r="B72" s="109">
        <v>32000000</v>
      </c>
      <c r="C72" s="127">
        <f aca="true" t="shared" si="2" ref="C72:C83">SUM(D72:U72)</f>
        <v>96000000</v>
      </c>
      <c r="G72" s="109">
        <v>32000000</v>
      </c>
      <c r="H72" s="109"/>
      <c r="K72" s="109">
        <v>32000000</v>
      </c>
      <c r="M72" s="109">
        <v>12000000</v>
      </c>
      <c r="O72" s="65">
        <f>B72-M72</f>
        <v>20000000</v>
      </c>
    </row>
    <row r="73" spans="1:13" ht="12.75">
      <c r="A73" s="38" t="s">
        <v>157</v>
      </c>
      <c r="B73" s="109">
        <v>6000000</v>
      </c>
      <c r="C73" s="127">
        <f t="shared" si="2"/>
        <v>18000000</v>
      </c>
      <c r="G73" s="109">
        <v>6000000</v>
      </c>
      <c r="H73" s="109"/>
      <c r="K73" s="109">
        <v>6000000</v>
      </c>
      <c r="M73" s="109">
        <v>6000000</v>
      </c>
    </row>
    <row r="74" spans="1:13" ht="12.75">
      <c r="A74" s="38" t="s">
        <v>153</v>
      </c>
      <c r="B74" s="109">
        <v>3520000</v>
      </c>
      <c r="C74" s="127">
        <f t="shared" si="2"/>
        <v>10560000</v>
      </c>
      <c r="G74" s="109">
        <v>3520000</v>
      </c>
      <c r="H74" s="109"/>
      <c r="K74" s="109">
        <v>3520000</v>
      </c>
      <c r="M74" s="109">
        <v>3520000</v>
      </c>
    </row>
    <row r="75" spans="1:13" ht="12.75">
      <c r="A75" s="38" t="s">
        <v>154</v>
      </c>
      <c r="B75" s="109">
        <v>4480000</v>
      </c>
      <c r="C75" s="127">
        <f t="shared" si="2"/>
        <v>13440000</v>
      </c>
      <c r="G75" s="109">
        <v>4480000</v>
      </c>
      <c r="H75" s="109"/>
      <c r="K75" s="109">
        <v>4480000</v>
      </c>
      <c r="M75" s="109">
        <v>4480000</v>
      </c>
    </row>
    <row r="76" spans="1:13" ht="12.75">
      <c r="A76" s="38" t="s">
        <v>155</v>
      </c>
      <c r="B76" s="109">
        <v>1530000</v>
      </c>
      <c r="C76" s="127">
        <f t="shared" si="2"/>
        <v>4590000</v>
      </c>
      <c r="G76" s="109">
        <v>1530000</v>
      </c>
      <c r="H76" s="109"/>
      <c r="K76" s="109">
        <v>1530000</v>
      </c>
      <c r="M76" s="109">
        <v>1530000</v>
      </c>
    </row>
    <row r="77" spans="1:11" ht="12.75">
      <c r="A77" s="37" t="s">
        <v>277</v>
      </c>
      <c r="B77" s="109"/>
      <c r="C77" s="127"/>
      <c r="G77" s="109"/>
      <c r="H77" s="109"/>
      <c r="K77" s="109"/>
    </row>
    <row r="78" spans="1:13" ht="12.75">
      <c r="A78" s="38" t="s">
        <v>149</v>
      </c>
      <c r="B78" s="109"/>
      <c r="C78" s="127"/>
      <c r="G78" s="109"/>
      <c r="H78" s="109"/>
      <c r="K78" s="109"/>
      <c r="M78" s="109"/>
    </row>
    <row r="79" spans="1:15" ht="12.75">
      <c r="A79" s="38" t="s">
        <v>156</v>
      </c>
      <c r="B79" s="109">
        <v>20000000</v>
      </c>
      <c r="C79" s="127">
        <f t="shared" si="2"/>
        <v>60000000</v>
      </c>
      <c r="G79" s="109">
        <v>20000000</v>
      </c>
      <c r="H79" s="109"/>
      <c r="K79" s="109">
        <v>20000000</v>
      </c>
      <c r="M79" s="109">
        <f>5000000-3830000</f>
        <v>1170000</v>
      </c>
      <c r="O79" s="65">
        <f>B79-M79</f>
        <v>18830000</v>
      </c>
    </row>
    <row r="80" spans="1:15" ht="12.75">
      <c r="A80" s="38" t="s">
        <v>157</v>
      </c>
      <c r="B80" s="109">
        <v>6000000</v>
      </c>
      <c r="C80" s="127">
        <f t="shared" si="2"/>
        <v>18000000</v>
      </c>
      <c r="G80" s="109">
        <v>6000000</v>
      </c>
      <c r="H80" s="109"/>
      <c r="K80" s="109">
        <v>6000000</v>
      </c>
      <c r="M80" s="109">
        <v>0</v>
      </c>
      <c r="O80" s="65">
        <f>B80-M80</f>
        <v>6000000</v>
      </c>
    </row>
    <row r="81" spans="1:15" ht="12.75">
      <c r="A81" s="38" t="s">
        <v>153</v>
      </c>
      <c r="B81" s="109">
        <v>3520000</v>
      </c>
      <c r="C81" s="127">
        <f t="shared" si="2"/>
        <v>10560000</v>
      </c>
      <c r="G81" s="109">
        <v>3520000</v>
      </c>
      <c r="H81" s="109"/>
      <c r="K81" s="109">
        <v>3520000</v>
      </c>
      <c r="M81" s="109">
        <v>0</v>
      </c>
      <c r="O81" s="65">
        <f>B81-M81</f>
        <v>3520000</v>
      </c>
    </row>
    <row r="82" spans="1:15" ht="12.75">
      <c r="A82" s="38" t="s">
        <v>154</v>
      </c>
      <c r="B82" s="109">
        <v>3520000</v>
      </c>
      <c r="C82" s="127">
        <f t="shared" si="2"/>
        <v>10560000</v>
      </c>
      <c r="G82" s="109">
        <v>3520000</v>
      </c>
      <c r="H82" s="109"/>
      <c r="K82" s="109">
        <v>3520000</v>
      </c>
      <c r="M82" s="109">
        <v>0</v>
      </c>
      <c r="O82" s="65">
        <f>B82-M82</f>
        <v>3520000</v>
      </c>
    </row>
    <row r="83" spans="1:15" ht="12.75">
      <c r="A83" s="38" t="s">
        <v>155</v>
      </c>
      <c r="B83" s="109">
        <v>1530000</v>
      </c>
      <c r="C83" s="127">
        <f t="shared" si="2"/>
        <v>4590000</v>
      </c>
      <c r="G83" s="109">
        <v>1530000</v>
      </c>
      <c r="H83" s="109"/>
      <c r="K83" s="109">
        <v>1530000</v>
      </c>
      <c r="M83" s="109">
        <v>0</v>
      </c>
      <c r="O83" s="65">
        <f>B83-M83</f>
        <v>1530000</v>
      </c>
    </row>
    <row r="84" spans="1:8" ht="12.75">
      <c r="A84" s="37" t="s">
        <v>265</v>
      </c>
      <c r="B84" s="109"/>
      <c r="C84" s="127"/>
      <c r="E84" s="109"/>
      <c r="G84" s="109"/>
      <c r="H84" s="109"/>
    </row>
    <row r="85" spans="1:17" ht="12.75">
      <c r="A85" s="38" t="s">
        <v>149</v>
      </c>
      <c r="B85" s="109"/>
      <c r="C85" s="127"/>
      <c r="G85" s="109"/>
      <c r="H85" s="109"/>
      <c r="Q85" s="109"/>
    </row>
    <row r="86" spans="1:20" ht="12.75">
      <c r="A86" s="38" t="s">
        <v>156</v>
      </c>
      <c r="B86" s="109">
        <v>32000000</v>
      </c>
      <c r="C86" s="127">
        <f>SUM(D86:U86)</f>
        <v>32000000</v>
      </c>
      <c r="G86" s="109"/>
      <c r="H86" s="109"/>
      <c r="T86" s="109">
        <v>32000000</v>
      </c>
    </row>
    <row r="87" spans="1:20" ht="12.75">
      <c r="A87" s="38" t="s">
        <v>157</v>
      </c>
      <c r="B87" s="109">
        <v>6000000</v>
      </c>
      <c r="C87" s="127">
        <f>SUM(D87:U87)</f>
        <v>6000000</v>
      </c>
      <c r="G87" s="109"/>
      <c r="H87" s="109"/>
      <c r="T87" s="109">
        <v>6000000</v>
      </c>
    </row>
    <row r="88" spans="1:20" ht="12.75">
      <c r="A88" s="38" t="s">
        <v>153</v>
      </c>
      <c r="B88" s="109">
        <v>3520000</v>
      </c>
      <c r="C88" s="127">
        <f>SUM(D88:U88)</f>
        <v>3520000</v>
      </c>
      <c r="G88" s="109"/>
      <c r="H88" s="109"/>
      <c r="T88" s="109">
        <v>3520000</v>
      </c>
    </row>
    <row r="89" spans="1:20" ht="12.75">
      <c r="A89" s="38" t="s">
        <v>154</v>
      </c>
      <c r="B89" s="109">
        <v>4480000</v>
      </c>
      <c r="C89" s="127">
        <f>SUM(D89:U89)</f>
        <v>4480000</v>
      </c>
      <c r="G89" s="109"/>
      <c r="H89" s="109"/>
      <c r="T89" s="109">
        <v>4480000</v>
      </c>
    </row>
    <row r="90" spans="1:20" ht="12.75">
      <c r="A90" s="38" t="s">
        <v>155</v>
      </c>
      <c r="B90" s="109">
        <v>1530000</v>
      </c>
      <c r="C90" s="127">
        <f>SUM(D90:U90)</f>
        <v>1530000</v>
      </c>
      <c r="G90" s="109"/>
      <c r="H90" s="109"/>
      <c r="T90" s="109">
        <v>1530000</v>
      </c>
    </row>
    <row r="91" spans="1:20" ht="12.75">
      <c r="A91" s="37" t="s">
        <v>266</v>
      </c>
      <c r="B91" s="109"/>
      <c r="C91" s="127"/>
      <c r="G91" s="109"/>
      <c r="H91" s="109"/>
      <c r="T91" s="109"/>
    </row>
    <row r="92" spans="1:20" ht="12.75">
      <c r="A92" s="38" t="s">
        <v>149</v>
      </c>
      <c r="B92" s="109"/>
      <c r="C92" s="127"/>
      <c r="G92" s="109"/>
      <c r="H92" s="109"/>
      <c r="T92" s="109"/>
    </row>
    <row r="93" spans="1:20" ht="12.75">
      <c r="A93" s="38" t="s">
        <v>156</v>
      </c>
      <c r="B93" s="109">
        <v>22500000</v>
      </c>
      <c r="C93" s="127">
        <f>SUM(D93:U93)</f>
        <v>22500000</v>
      </c>
      <c r="G93" s="109"/>
      <c r="H93" s="109"/>
      <c r="T93" s="109">
        <v>22500000</v>
      </c>
    </row>
    <row r="94" spans="1:20" ht="12.75">
      <c r="A94" s="38" t="s">
        <v>160</v>
      </c>
      <c r="B94" s="109">
        <v>6000000</v>
      </c>
      <c r="C94" s="127">
        <f>SUM(D94:U94)</f>
        <v>6000000</v>
      </c>
      <c r="G94" s="109"/>
      <c r="H94" s="109"/>
      <c r="T94" s="109">
        <v>6000000</v>
      </c>
    </row>
    <row r="95" spans="1:20" ht="12.75">
      <c r="A95" s="38" t="s">
        <v>153</v>
      </c>
      <c r="B95" s="109">
        <v>3840000</v>
      </c>
      <c r="C95" s="127">
        <f>SUM(D95:U95)</f>
        <v>3840000</v>
      </c>
      <c r="G95" s="109"/>
      <c r="H95" s="109"/>
      <c r="T95" s="109">
        <v>3840000</v>
      </c>
    </row>
    <row r="96" spans="1:20" ht="12.75">
      <c r="A96" s="38" t="s">
        <v>154</v>
      </c>
      <c r="B96" s="109">
        <v>4032000</v>
      </c>
      <c r="C96" s="127">
        <f>SUM(D96:U96)</f>
        <v>4032000</v>
      </c>
      <c r="G96" s="109"/>
      <c r="H96" s="109"/>
      <c r="T96" s="109">
        <v>4032000</v>
      </c>
    </row>
    <row r="97" spans="1:20" ht="12.75">
      <c r="A97" s="38" t="s">
        <v>155</v>
      </c>
      <c r="B97" s="109">
        <v>1530000</v>
      </c>
      <c r="C97" s="127">
        <f>SUM(D97:U97)</f>
        <v>1530000</v>
      </c>
      <c r="G97" s="109"/>
      <c r="H97" s="109"/>
      <c r="T97" s="109">
        <v>1530000</v>
      </c>
    </row>
    <row r="98" spans="1:20" ht="12.75">
      <c r="A98" s="38" t="s">
        <v>161</v>
      </c>
      <c r="B98" s="109"/>
      <c r="C98" s="127"/>
      <c r="G98" s="109"/>
      <c r="H98" s="109"/>
      <c r="T98" s="109"/>
    </row>
    <row r="99" spans="1:20" ht="12.75">
      <c r="A99" s="38" t="s">
        <v>162</v>
      </c>
      <c r="B99" s="109">
        <v>268000</v>
      </c>
      <c r="C99" s="127">
        <f>SUM(D99:U99)</f>
        <v>268000</v>
      </c>
      <c r="G99" s="109"/>
      <c r="H99" s="109"/>
      <c r="T99" s="109">
        <v>268000</v>
      </c>
    </row>
    <row r="100" spans="1:20" ht="25.5">
      <c r="A100" s="171" t="s">
        <v>443</v>
      </c>
      <c r="B100" s="109"/>
      <c r="C100" s="127"/>
      <c r="G100" s="109"/>
      <c r="H100" s="109"/>
      <c r="T100" s="109"/>
    </row>
    <row r="101" spans="1:20" ht="12.75">
      <c r="A101" s="171" t="s">
        <v>149</v>
      </c>
      <c r="B101" s="109"/>
      <c r="C101" s="127"/>
      <c r="G101" s="109"/>
      <c r="H101" s="109"/>
      <c r="T101" s="109"/>
    </row>
    <row r="102" spans="1:20" ht="12.75">
      <c r="A102" s="171" t="s">
        <v>156</v>
      </c>
      <c r="B102" s="109">
        <v>40000000</v>
      </c>
      <c r="C102" s="127"/>
      <c r="G102" s="109"/>
      <c r="H102" s="109">
        <v>40000000</v>
      </c>
      <c r="K102" s="109">
        <f>20000000-16670000</f>
        <v>3330000</v>
      </c>
      <c r="N102" s="109">
        <v>40000000</v>
      </c>
      <c r="T102" s="109">
        <v>40000000</v>
      </c>
    </row>
    <row r="103" spans="1:20" ht="12.75">
      <c r="A103" s="171" t="s">
        <v>157</v>
      </c>
      <c r="B103" s="109">
        <f>17500000+7340000</f>
        <v>24840000</v>
      </c>
      <c r="C103" s="127"/>
      <c r="G103" s="109"/>
      <c r="H103" s="109">
        <f>17500000+7340000</f>
        <v>24840000</v>
      </c>
      <c r="K103" s="109">
        <v>6000000</v>
      </c>
      <c r="N103" s="109">
        <f>17500000+7340000</f>
        <v>24840000</v>
      </c>
      <c r="T103" s="109">
        <f>17500000+7340000</f>
        <v>24840000</v>
      </c>
    </row>
    <row r="104" spans="1:20" ht="12.75">
      <c r="A104" s="171" t="s">
        <v>153</v>
      </c>
      <c r="B104" s="129">
        <f>3600000+4430000</f>
        <v>8030000</v>
      </c>
      <c r="C104" s="127"/>
      <c r="G104" s="109"/>
      <c r="H104" s="129">
        <f>3600000+4430000</f>
        <v>8030000</v>
      </c>
      <c r="K104" s="109">
        <v>3520000</v>
      </c>
      <c r="N104" s="129">
        <f>3600000+4430000</f>
        <v>8030000</v>
      </c>
      <c r="T104" s="129">
        <f>3600000+4430000</f>
        <v>8030000</v>
      </c>
    </row>
    <row r="105" spans="1:20" ht="12.75">
      <c r="A105" s="171" t="s">
        <v>154</v>
      </c>
      <c r="B105" s="109">
        <v>6800000</v>
      </c>
      <c r="C105" s="127"/>
      <c r="G105" s="109"/>
      <c r="H105" s="109">
        <v>6800000</v>
      </c>
      <c r="K105" s="109">
        <v>3520000</v>
      </c>
      <c r="N105" s="109">
        <v>6800000</v>
      </c>
      <c r="T105" s="109">
        <v>6800000</v>
      </c>
    </row>
    <row r="106" spans="1:20" ht="12.75">
      <c r="A106" s="171" t="s">
        <v>155</v>
      </c>
      <c r="B106" s="109">
        <v>2530000</v>
      </c>
      <c r="C106" s="127"/>
      <c r="G106" s="109"/>
      <c r="H106" s="109">
        <v>2530000</v>
      </c>
      <c r="K106" s="109">
        <v>1530000</v>
      </c>
      <c r="N106" s="109">
        <v>2530000</v>
      </c>
      <c r="T106" s="109">
        <v>2530000</v>
      </c>
    </row>
    <row r="107" spans="1:20" ht="12.75">
      <c r="A107" s="171" t="s">
        <v>444</v>
      </c>
      <c r="B107" s="109"/>
      <c r="C107" s="127"/>
      <c r="G107" s="109"/>
      <c r="H107" s="109">
        <v>117800000</v>
      </c>
      <c r="K107" s="109"/>
      <c r="N107" s="109">
        <v>117800000</v>
      </c>
      <c r="T107" s="147">
        <v>200000000</v>
      </c>
    </row>
    <row r="108" spans="1:22" s="93" customFormat="1" ht="12.75">
      <c r="A108" s="91" t="s">
        <v>159</v>
      </c>
      <c r="B108" s="132">
        <f>SUM(B56:B106)</f>
        <v>332100000</v>
      </c>
      <c r="C108" s="132">
        <f>SUM(D108:U108)</f>
        <v>1328400000</v>
      </c>
      <c r="D108" s="73"/>
      <c r="E108" s="120">
        <f>SUM(E57:E99)</f>
        <v>50000000</v>
      </c>
      <c r="F108" s="73"/>
      <c r="G108" s="120">
        <f>SUM(G57:G99)</f>
        <v>164200000</v>
      </c>
      <c r="H108" s="132">
        <f>SUM(H56:H107)</f>
        <v>200000000</v>
      </c>
      <c r="I108" s="132">
        <f aca="true" t="shared" si="3" ref="I108:U108">SUM(I56:I106)</f>
        <v>0</v>
      </c>
      <c r="J108" s="132">
        <f t="shared" si="3"/>
        <v>0</v>
      </c>
      <c r="K108" s="132">
        <f t="shared" si="3"/>
        <v>100000000</v>
      </c>
      <c r="L108" s="132">
        <f t="shared" si="3"/>
        <v>0</v>
      </c>
      <c r="M108" s="132">
        <f t="shared" si="3"/>
        <v>110800000</v>
      </c>
      <c r="N108" s="132">
        <f>SUM(N57:N107)</f>
        <v>200000000</v>
      </c>
      <c r="O108" s="132">
        <f t="shared" si="3"/>
        <v>53400000</v>
      </c>
      <c r="P108" s="132">
        <f t="shared" si="3"/>
        <v>0</v>
      </c>
      <c r="Q108" s="132">
        <f t="shared" si="3"/>
        <v>0</v>
      </c>
      <c r="R108" s="132">
        <f t="shared" si="3"/>
        <v>0</v>
      </c>
      <c r="S108" s="132">
        <f t="shared" si="3"/>
        <v>0</v>
      </c>
      <c r="T108" s="238">
        <f>SUM(T56:T107)</f>
        <v>450000000</v>
      </c>
      <c r="U108" s="132">
        <f t="shared" si="3"/>
        <v>0</v>
      </c>
      <c r="V108" s="172"/>
    </row>
    <row r="109" spans="1:21" s="84" customFormat="1" ht="12.75">
      <c r="A109" s="82" t="s">
        <v>213</v>
      </c>
      <c r="B109" s="76">
        <f>B51+B108</f>
        <v>582100000</v>
      </c>
      <c r="C109" s="112">
        <f>SUM(D109:U109)</f>
        <v>1684270000</v>
      </c>
      <c r="D109" s="83"/>
      <c r="E109" s="76">
        <f>E51+E108</f>
        <v>100000000</v>
      </c>
      <c r="F109" s="76"/>
      <c r="G109" s="76">
        <f aca="true" t="shared" si="4" ref="G109:U109">G51+G108</f>
        <v>164200000</v>
      </c>
      <c r="H109" s="76">
        <f t="shared" si="4"/>
        <v>200000000</v>
      </c>
      <c r="I109" s="76">
        <f t="shared" si="4"/>
        <v>105870000</v>
      </c>
      <c r="J109" s="76">
        <f t="shared" si="4"/>
        <v>0</v>
      </c>
      <c r="K109" s="76">
        <f t="shared" si="4"/>
        <v>100000000</v>
      </c>
      <c r="L109" s="76">
        <f t="shared" si="4"/>
        <v>0</v>
      </c>
      <c r="M109" s="76">
        <f t="shared" si="4"/>
        <v>110800000</v>
      </c>
      <c r="N109" s="76">
        <f t="shared" si="4"/>
        <v>400000000</v>
      </c>
      <c r="O109" s="76">
        <f t="shared" si="4"/>
        <v>53400000</v>
      </c>
      <c r="P109" s="76">
        <f t="shared" si="4"/>
        <v>0</v>
      </c>
      <c r="Q109" s="76">
        <f t="shared" si="4"/>
        <v>0</v>
      </c>
      <c r="R109" s="76">
        <f t="shared" si="4"/>
        <v>0</v>
      </c>
      <c r="S109" s="76">
        <f t="shared" si="4"/>
        <v>0</v>
      </c>
      <c r="T109" s="239">
        <f t="shared" si="4"/>
        <v>450000000</v>
      </c>
      <c r="U109" s="76">
        <f t="shared" si="4"/>
        <v>0</v>
      </c>
    </row>
    <row r="110" spans="1:3" ht="12.75">
      <c r="A110" s="81"/>
      <c r="B110" s="26"/>
      <c r="C110" s="26"/>
    </row>
    <row r="111" spans="1:3" ht="12.75">
      <c r="A111" s="1" t="s">
        <v>244</v>
      </c>
      <c r="B111" s="108"/>
      <c r="C111" s="108"/>
    </row>
    <row r="112" spans="1:21" s="19" customFormat="1" ht="12.75">
      <c r="A112" s="86" t="s">
        <v>245</v>
      </c>
      <c r="B112" s="87"/>
      <c r="C112" s="87"/>
      <c r="D112" s="25"/>
      <c r="E112" s="25"/>
      <c r="F112" s="25"/>
      <c r="G112" s="25"/>
      <c r="H112" s="25"/>
      <c r="I112" s="26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</row>
    <row r="113" ht="25.5">
      <c r="A113" s="28" t="s">
        <v>246</v>
      </c>
    </row>
    <row r="114" spans="1:20" ht="12.75">
      <c r="A114" s="2" t="s">
        <v>62</v>
      </c>
      <c r="B114" s="113">
        <v>600000</v>
      </c>
      <c r="C114" s="113"/>
      <c r="I114" s="113">
        <v>600000</v>
      </c>
      <c r="T114" s="113"/>
    </row>
    <row r="115" spans="1:20" ht="12.75">
      <c r="A115" s="2" t="s">
        <v>63</v>
      </c>
      <c r="B115" s="113">
        <v>2400000</v>
      </c>
      <c r="C115" s="113"/>
      <c r="I115" s="113">
        <v>2400000</v>
      </c>
      <c r="T115" s="113">
        <v>2400000</v>
      </c>
    </row>
    <row r="116" spans="1:20" ht="12.75">
      <c r="A116" s="2" t="s">
        <v>8</v>
      </c>
      <c r="B116" s="113">
        <v>10000000</v>
      </c>
      <c r="C116" s="113"/>
      <c r="I116" s="113">
        <v>10000000</v>
      </c>
      <c r="T116" s="113">
        <v>2000000</v>
      </c>
    </row>
    <row r="117" spans="1:20" ht="12.75">
      <c r="A117" s="2" t="s">
        <v>64</v>
      </c>
      <c r="B117" s="113">
        <v>2400000</v>
      </c>
      <c r="C117" s="113"/>
      <c r="I117" s="113">
        <v>2400000</v>
      </c>
      <c r="T117" s="113">
        <v>2400000</v>
      </c>
    </row>
    <row r="118" spans="1:20" ht="12.75">
      <c r="A118" s="2" t="s">
        <v>35</v>
      </c>
      <c r="B118" s="113">
        <v>1600000</v>
      </c>
      <c r="C118" s="113"/>
      <c r="I118" s="113">
        <v>1600000</v>
      </c>
      <c r="T118" s="113">
        <v>1600000</v>
      </c>
    </row>
    <row r="119" spans="1:20" ht="12.75">
      <c r="A119" s="2" t="s">
        <v>31</v>
      </c>
      <c r="B119" s="113">
        <v>1300000</v>
      </c>
      <c r="C119" s="113"/>
      <c r="I119" s="113">
        <v>1300000</v>
      </c>
      <c r="T119" s="113">
        <f>1300000+7900000</f>
        <v>9200000</v>
      </c>
    </row>
    <row r="120" spans="1:20" ht="12.75">
      <c r="A120" s="2" t="s">
        <v>65</v>
      </c>
      <c r="B120" s="113">
        <v>9000000</v>
      </c>
      <c r="C120" s="113"/>
      <c r="I120" s="113">
        <v>9000000</v>
      </c>
      <c r="T120" s="113"/>
    </row>
    <row r="121" spans="1:20" ht="12.75">
      <c r="A121" s="2" t="s">
        <v>66</v>
      </c>
      <c r="B121" s="113">
        <v>3600000</v>
      </c>
      <c r="C121" s="113"/>
      <c r="I121" s="113">
        <v>3600000</v>
      </c>
      <c r="T121" s="113">
        <v>3600000</v>
      </c>
    </row>
    <row r="122" spans="1:20" ht="12.75">
      <c r="A122" s="208" t="s">
        <v>421</v>
      </c>
      <c r="B122" s="207">
        <v>515000000</v>
      </c>
      <c r="C122" s="113"/>
      <c r="F122" s="207">
        <v>515000000</v>
      </c>
      <c r="I122" s="113"/>
      <c r="T122" s="113"/>
    </row>
    <row r="123" spans="1:20" ht="12.75">
      <c r="A123" s="208"/>
      <c r="B123" s="207">
        <v>75000000</v>
      </c>
      <c r="C123" s="113"/>
      <c r="F123" s="207">
        <v>75000000</v>
      </c>
      <c r="I123" s="113"/>
      <c r="T123" s="113"/>
    </row>
    <row r="124" spans="1:20" ht="12.75">
      <c r="A124" s="208" t="s">
        <v>422</v>
      </c>
      <c r="B124" s="207"/>
      <c r="C124" s="113"/>
      <c r="F124" s="207"/>
      <c r="I124" s="113"/>
      <c r="T124" s="113"/>
    </row>
    <row r="125" spans="1:20" ht="12.75">
      <c r="A125" s="208" t="s">
        <v>423</v>
      </c>
      <c r="B125" s="207">
        <v>70000000</v>
      </c>
      <c r="C125" s="113"/>
      <c r="F125" s="207">
        <v>70000000</v>
      </c>
      <c r="I125" s="113"/>
      <c r="T125" s="113"/>
    </row>
    <row r="126" spans="1:20" ht="12.75">
      <c r="A126"/>
      <c r="B126"/>
      <c r="C126" s="113"/>
      <c r="F126"/>
      <c r="I126" s="113"/>
      <c r="T126" s="113"/>
    </row>
    <row r="127" spans="1:20" ht="12.75">
      <c r="A127" s="208" t="s">
        <v>424</v>
      </c>
      <c r="B127" s="207"/>
      <c r="C127" s="113"/>
      <c r="F127" s="207"/>
      <c r="I127" s="113"/>
      <c r="T127" s="113"/>
    </row>
    <row r="128" spans="1:20" ht="12.75">
      <c r="A128" s="208" t="s">
        <v>425</v>
      </c>
      <c r="B128" s="207">
        <v>90000000</v>
      </c>
      <c r="C128" s="113"/>
      <c r="F128" s="207">
        <v>90000000</v>
      </c>
      <c r="I128" s="113"/>
      <c r="T128" s="113"/>
    </row>
    <row r="129" spans="1:20" ht="12.75">
      <c r="A129" s="208" t="s">
        <v>426</v>
      </c>
      <c r="B129" s="207"/>
      <c r="C129" s="113"/>
      <c r="F129" s="207"/>
      <c r="I129" s="113"/>
      <c r="T129" s="113"/>
    </row>
    <row r="130" spans="1:20" ht="12.75">
      <c r="A130" s="208" t="s">
        <v>427</v>
      </c>
      <c r="B130" s="207">
        <v>160000000</v>
      </c>
      <c r="C130" s="113"/>
      <c r="F130" s="207">
        <v>160000000</v>
      </c>
      <c r="I130" s="113"/>
      <c r="T130" s="113"/>
    </row>
    <row r="131" spans="1:20" ht="12.75">
      <c r="A131" s="208" t="s">
        <v>428</v>
      </c>
      <c r="B131" s="207"/>
      <c r="C131" s="113"/>
      <c r="F131" s="207"/>
      <c r="I131" s="113"/>
      <c r="T131" s="113"/>
    </row>
    <row r="132" spans="1:20" ht="12.75">
      <c r="A132" s="208" t="s">
        <v>486</v>
      </c>
      <c r="B132" s="207">
        <v>20000000</v>
      </c>
      <c r="C132" s="113"/>
      <c r="F132" s="207">
        <v>20000000</v>
      </c>
      <c r="I132" s="113"/>
      <c r="T132" s="113"/>
    </row>
    <row r="133" spans="1:20" ht="12.75">
      <c r="A133" s="208" t="s">
        <v>430</v>
      </c>
      <c r="B133" s="207"/>
      <c r="C133" s="113"/>
      <c r="F133" s="207"/>
      <c r="I133" s="113"/>
      <c r="T133" s="113"/>
    </row>
    <row r="134" spans="1:20" ht="12.75">
      <c r="A134" s="208" t="s">
        <v>431</v>
      </c>
      <c r="B134" s="207">
        <v>75000000</v>
      </c>
      <c r="C134" s="113"/>
      <c r="F134" s="207">
        <v>75000000</v>
      </c>
      <c r="I134" s="113"/>
      <c r="T134" s="113"/>
    </row>
    <row r="135" spans="1:20" ht="12.75">
      <c r="A135" s="208" t="s">
        <v>489</v>
      </c>
      <c r="B135" s="207">
        <v>110000000</v>
      </c>
      <c r="C135" s="113"/>
      <c r="F135" s="207">
        <v>110000000</v>
      </c>
      <c r="I135" s="113"/>
      <c r="T135" s="113"/>
    </row>
    <row r="136" spans="1:20" ht="12.75">
      <c r="A136" s="144"/>
      <c r="B136" s="275"/>
      <c r="C136" s="113"/>
      <c r="F136" s="275"/>
      <c r="I136" s="113"/>
      <c r="T136" s="113"/>
    </row>
    <row r="137" spans="1:20" ht="12.75">
      <c r="A137" s="2" t="s">
        <v>67</v>
      </c>
      <c r="B137" s="113"/>
      <c r="C137" s="113"/>
      <c r="I137" s="113"/>
      <c r="T137" s="113"/>
    </row>
    <row r="138" spans="1:20" ht="12.75">
      <c r="A138" s="2" t="s">
        <v>68</v>
      </c>
      <c r="B138" s="113">
        <v>4200000</v>
      </c>
      <c r="C138" s="113"/>
      <c r="I138" s="113">
        <v>4200000</v>
      </c>
      <c r="T138" s="113">
        <v>4200000</v>
      </c>
    </row>
    <row r="139" spans="1:20" ht="12.75">
      <c r="A139" s="2" t="s">
        <v>69</v>
      </c>
      <c r="B139" s="113">
        <v>4200000</v>
      </c>
      <c r="C139" s="113"/>
      <c r="I139" s="113">
        <v>4200000</v>
      </c>
      <c r="T139" s="113">
        <v>4200000</v>
      </c>
    </row>
    <row r="140" spans="1:20" ht="12.75">
      <c r="A140" s="2" t="s">
        <v>70</v>
      </c>
      <c r="B140" s="113">
        <v>4800000</v>
      </c>
      <c r="C140" s="113"/>
      <c r="I140" s="113">
        <v>4800000</v>
      </c>
      <c r="T140" s="113">
        <v>4800000</v>
      </c>
    </row>
    <row r="141" spans="1:20" ht="12.75">
      <c r="A141" s="2" t="s">
        <v>71</v>
      </c>
      <c r="B141" s="113">
        <v>4200000</v>
      </c>
      <c r="C141" s="113"/>
      <c r="I141" s="113">
        <v>4200000</v>
      </c>
      <c r="T141" s="113">
        <v>4200000</v>
      </c>
    </row>
    <row r="142" spans="1:20" ht="12.75">
      <c r="A142" s="2" t="s">
        <v>72</v>
      </c>
      <c r="B142" s="113">
        <v>5400000</v>
      </c>
      <c r="C142" s="113"/>
      <c r="I142" s="113">
        <v>5400000</v>
      </c>
      <c r="T142" s="113">
        <v>5400000</v>
      </c>
    </row>
    <row r="143" spans="1:20" ht="12.75">
      <c r="A143" s="2" t="s">
        <v>29</v>
      </c>
      <c r="B143" s="113">
        <v>12000000</v>
      </c>
      <c r="C143" s="113"/>
      <c r="I143" s="113">
        <v>12000000</v>
      </c>
      <c r="T143" s="113">
        <v>2000000</v>
      </c>
    </row>
    <row r="144" spans="1:20" ht="12.75">
      <c r="A144" s="2" t="s">
        <v>32</v>
      </c>
      <c r="B144" s="113">
        <v>2000000</v>
      </c>
      <c r="C144" s="113"/>
      <c r="I144" s="113">
        <v>2000000</v>
      </c>
      <c r="T144" s="113">
        <v>12000000</v>
      </c>
    </row>
    <row r="145" spans="1:20" ht="12.75">
      <c r="A145" s="2" t="s">
        <v>28</v>
      </c>
      <c r="B145" s="113">
        <v>2000000</v>
      </c>
      <c r="C145" s="113"/>
      <c r="I145" s="113">
        <v>2000000</v>
      </c>
      <c r="T145" s="113">
        <v>2000000</v>
      </c>
    </row>
    <row r="146" spans="1:21" s="90" customFormat="1" ht="12.75">
      <c r="A146" s="32" t="s">
        <v>73</v>
      </c>
      <c r="B146" s="110">
        <f>SUM(B114:B145)</f>
        <v>1184700000</v>
      </c>
      <c r="C146" s="110">
        <f>SUM(D146:U146)</f>
        <v>1244700000</v>
      </c>
      <c r="D146" s="18"/>
      <c r="E146" s="18"/>
      <c r="F146" s="310">
        <f>SUM(F114:F145)</f>
        <v>1115000000</v>
      </c>
      <c r="G146" s="51"/>
      <c r="H146" s="89">
        <f>SUM(H114:H145)</f>
        <v>0</v>
      </c>
      <c r="I146" s="89">
        <f>SUM(I114:I145)</f>
        <v>69700000</v>
      </c>
      <c r="J146" s="18"/>
      <c r="K146" s="18"/>
      <c r="L146" s="51"/>
      <c r="M146" s="18"/>
      <c r="N146" s="89">
        <f aca="true" t="shared" si="5" ref="N146:S146">SUM(N114:N145)</f>
        <v>0</v>
      </c>
      <c r="O146" s="89">
        <f t="shared" si="5"/>
        <v>0</v>
      </c>
      <c r="P146" s="89">
        <f t="shared" si="5"/>
        <v>0</v>
      </c>
      <c r="Q146" s="89">
        <f t="shared" si="5"/>
        <v>0</v>
      </c>
      <c r="R146" s="89">
        <f t="shared" si="5"/>
        <v>0</v>
      </c>
      <c r="S146" s="89">
        <f t="shared" si="5"/>
        <v>0</v>
      </c>
      <c r="T146" s="89">
        <f>SUM(T114:T145)</f>
        <v>60000000</v>
      </c>
      <c r="U146" s="89">
        <f>SUM(U114:U145)</f>
        <v>0</v>
      </c>
    </row>
    <row r="147" spans="1:8" ht="12.75">
      <c r="A147" s="80"/>
      <c r="B147" s="114"/>
      <c r="C147" s="114"/>
      <c r="E147" s="25"/>
      <c r="F147" s="53"/>
      <c r="G147" s="25"/>
      <c r="H147" s="25"/>
    </row>
    <row r="148" spans="2:3" ht="12.75">
      <c r="B148" s="113"/>
      <c r="C148" s="113"/>
    </row>
    <row r="149" spans="1:3" ht="12.75">
      <c r="A149" s="1" t="s">
        <v>247</v>
      </c>
      <c r="B149" s="113"/>
      <c r="C149" s="113"/>
    </row>
    <row r="150" spans="1:9" ht="12.75">
      <c r="A150" s="2" t="s">
        <v>74</v>
      </c>
      <c r="B150" s="113">
        <v>1200000</v>
      </c>
      <c r="C150" s="113"/>
      <c r="I150" s="113">
        <v>1200000</v>
      </c>
    </row>
    <row r="151" spans="1:9" ht="12.75">
      <c r="A151" s="2" t="s">
        <v>75</v>
      </c>
      <c r="B151" s="113">
        <v>16000000</v>
      </c>
      <c r="C151" s="113"/>
      <c r="I151" s="113">
        <v>16000000</v>
      </c>
    </row>
    <row r="152" spans="1:9" ht="12.75">
      <c r="A152" s="2" t="s">
        <v>76</v>
      </c>
      <c r="B152" s="113">
        <v>7200000</v>
      </c>
      <c r="C152" s="113"/>
      <c r="I152" s="113">
        <v>7200000</v>
      </c>
    </row>
    <row r="153" spans="1:9" ht="12.75">
      <c r="A153" s="2" t="s">
        <v>15</v>
      </c>
      <c r="B153" s="113">
        <v>1350000</v>
      </c>
      <c r="C153" s="113"/>
      <c r="I153" s="113">
        <v>1350000</v>
      </c>
    </row>
    <row r="154" spans="1:9" ht="12.75">
      <c r="A154" s="2" t="s">
        <v>8</v>
      </c>
      <c r="B154" s="113">
        <v>10000000</v>
      </c>
      <c r="C154" s="113"/>
      <c r="I154" s="113">
        <v>10000000</v>
      </c>
    </row>
    <row r="155" spans="1:9" ht="12.75">
      <c r="A155" s="2" t="s">
        <v>77</v>
      </c>
      <c r="B155" s="113">
        <v>19200000</v>
      </c>
      <c r="C155" s="113"/>
      <c r="I155" s="113">
        <v>19200000</v>
      </c>
    </row>
    <row r="156" spans="1:9" ht="12.75">
      <c r="A156" s="2" t="s">
        <v>17</v>
      </c>
      <c r="B156" s="113">
        <v>28800000</v>
      </c>
      <c r="C156" s="113"/>
      <c r="I156" s="113">
        <v>28800000</v>
      </c>
    </row>
    <row r="157" spans="1:9" ht="12.75">
      <c r="A157" s="2" t="s">
        <v>78</v>
      </c>
      <c r="B157" s="113">
        <v>12000000</v>
      </c>
      <c r="C157" s="113"/>
      <c r="I157" s="113">
        <v>12000000</v>
      </c>
    </row>
    <row r="158" spans="1:9" ht="12.75">
      <c r="A158" s="2" t="s">
        <v>32</v>
      </c>
      <c r="B158" s="113">
        <v>2000000</v>
      </c>
      <c r="C158" s="113"/>
      <c r="I158" s="113">
        <v>2000000</v>
      </c>
    </row>
    <row r="159" spans="1:9" ht="12.75">
      <c r="A159" s="2" t="s">
        <v>28</v>
      </c>
      <c r="B159" s="113">
        <v>2000000</v>
      </c>
      <c r="C159" s="113"/>
      <c r="I159" s="113">
        <v>2000000</v>
      </c>
    </row>
    <row r="160" spans="1:21" s="90" customFormat="1" ht="12.75">
      <c r="A160" s="32" t="s">
        <v>79</v>
      </c>
      <c r="B160" s="110">
        <f>SUM(B150:B159)</f>
        <v>99750000</v>
      </c>
      <c r="C160" s="110">
        <f>SUM(D160:U160)</f>
        <v>99750000</v>
      </c>
      <c r="D160" s="18"/>
      <c r="E160" s="18"/>
      <c r="F160" s="18"/>
      <c r="G160" s="18"/>
      <c r="H160" s="18"/>
      <c r="I160" s="89">
        <f>SUM(I150:I159)</f>
        <v>99750000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3" ht="12.75">
      <c r="A161" s="3"/>
      <c r="B161" s="113"/>
      <c r="C161" s="113"/>
    </row>
    <row r="162" spans="1:21" ht="12.75">
      <c r="A162" s="1" t="s">
        <v>248</v>
      </c>
      <c r="B162" s="113"/>
      <c r="C162" s="113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</row>
    <row r="163" spans="1:21" ht="12.75">
      <c r="A163" s="2" t="s">
        <v>80</v>
      </c>
      <c r="B163" s="113">
        <v>2000000</v>
      </c>
      <c r="C163" s="113"/>
      <c r="H163" s="65">
        <v>2000000</v>
      </c>
      <c r="I163" s="113">
        <v>2000000</v>
      </c>
      <c r="J163" s="65"/>
      <c r="K163" s="113"/>
      <c r="L163" s="65"/>
      <c r="M163" s="65"/>
      <c r="N163" s="65"/>
      <c r="O163" s="65"/>
      <c r="P163" s="65"/>
      <c r="Q163" s="65"/>
      <c r="R163" s="65"/>
      <c r="S163" s="65"/>
      <c r="T163" s="113"/>
      <c r="U163" s="65"/>
    </row>
    <row r="164" spans="1:21" ht="12.75">
      <c r="A164" s="2" t="s">
        <v>81</v>
      </c>
      <c r="B164" s="113">
        <v>12000000</v>
      </c>
      <c r="C164" s="113"/>
      <c r="G164" s="2">
        <v>5000000</v>
      </c>
      <c r="H164" s="65">
        <v>5000000</v>
      </c>
      <c r="I164" s="113">
        <f>12000000-G164</f>
        <v>7000000</v>
      </c>
      <c r="J164" s="65"/>
      <c r="K164" s="113"/>
      <c r="L164" s="65"/>
      <c r="M164" s="65"/>
      <c r="N164" s="65"/>
      <c r="O164" s="65"/>
      <c r="P164" s="65"/>
      <c r="Q164" s="65"/>
      <c r="R164" s="65"/>
      <c r="S164" s="65"/>
      <c r="T164" s="113"/>
      <c r="U164" s="65"/>
    </row>
    <row r="165" spans="1:21" ht="12.75">
      <c r="A165" s="2" t="s">
        <v>82</v>
      </c>
      <c r="B165" s="113">
        <v>2400000</v>
      </c>
      <c r="C165" s="113"/>
      <c r="H165" s="65">
        <v>5000000</v>
      </c>
      <c r="I165" s="113">
        <v>2400000</v>
      </c>
      <c r="J165" s="65"/>
      <c r="K165" s="113"/>
      <c r="L165" s="65"/>
      <c r="M165" s="65">
        <v>5000000</v>
      </c>
      <c r="N165" s="65"/>
      <c r="O165" s="65"/>
      <c r="P165" s="65"/>
      <c r="Q165" s="65"/>
      <c r="R165" s="65"/>
      <c r="S165" s="65"/>
      <c r="T165" s="113"/>
      <c r="U165" s="65"/>
    </row>
    <row r="166" spans="1:21" ht="12.75">
      <c r="A166" s="2" t="s">
        <v>8</v>
      </c>
      <c r="B166" s="113">
        <v>3800000</v>
      </c>
      <c r="C166" s="113"/>
      <c r="H166" s="65"/>
      <c r="I166" s="113">
        <v>3800000</v>
      </c>
      <c r="J166" s="65"/>
      <c r="K166" s="113"/>
      <c r="L166" s="65"/>
      <c r="M166" s="65"/>
      <c r="N166" s="65"/>
      <c r="O166" s="65"/>
      <c r="P166" s="65"/>
      <c r="Q166" s="65"/>
      <c r="R166" s="65"/>
      <c r="S166" s="65"/>
      <c r="T166" s="113"/>
      <c r="U166" s="65"/>
    </row>
    <row r="167" spans="1:21" s="42" customFormat="1" ht="12.75">
      <c r="A167" s="39" t="s">
        <v>442</v>
      </c>
      <c r="B167" s="137"/>
      <c r="C167" s="137"/>
      <c r="D167" s="39"/>
      <c r="E167" s="39"/>
      <c r="F167" s="39"/>
      <c r="G167" s="39"/>
      <c r="H167" s="130">
        <v>100000000</v>
      </c>
      <c r="I167" s="137"/>
      <c r="J167" s="130"/>
      <c r="K167" s="137"/>
      <c r="L167" s="130"/>
      <c r="M167" s="130"/>
      <c r="N167" s="130">
        <v>100000000</v>
      </c>
      <c r="O167" s="130"/>
      <c r="P167" s="130"/>
      <c r="Q167" s="130"/>
      <c r="R167" s="130"/>
      <c r="S167" s="130"/>
      <c r="T167" s="137">
        <v>125000000</v>
      </c>
      <c r="U167" s="130"/>
    </row>
    <row r="168" spans="1:21" ht="12.75">
      <c r="A168" s="2" t="s">
        <v>83</v>
      </c>
      <c r="B168" s="113"/>
      <c r="C168" s="113"/>
      <c r="H168" s="65"/>
      <c r="I168" s="113"/>
      <c r="J168" s="65"/>
      <c r="K168" s="113"/>
      <c r="L168" s="65"/>
      <c r="M168" s="65"/>
      <c r="N168" s="65"/>
      <c r="O168" s="65"/>
      <c r="P168" s="65"/>
      <c r="Q168" s="65"/>
      <c r="R168" s="65"/>
      <c r="S168" s="65"/>
      <c r="T168" s="113"/>
      <c r="U168" s="65"/>
    </row>
    <row r="169" spans="1:21" ht="12.75">
      <c r="A169" s="2" t="s">
        <v>84</v>
      </c>
      <c r="B169" s="113">
        <v>16000000</v>
      </c>
      <c r="C169" s="113"/>
      <c r="E169" s="113"/>
      <c r="G169" s="2">
        <v>5000000</v>
      </c>
      <c r="H169" s="65">
        <v>10000000</v>
      </c>
      <c r="I169" s="113">
        <f>16000000-G169</f>
        <v>11000000</v>
      </c>
      <c r="J169" s="65"/>
      <c r="K169" s="113">
        <v>16000000</v>
      </c>
      <c r="L169" s="65"/>
      <c r="M169" s="65"/>
      <c r="N169" s="65"/>
      <c r="O169" s="65"/>
      <c r="P169" s="65"/>
      <c r="Q169" s="65"/>
      <c r="R169" s="65"/>
      <c r="S169" s="65"/>
      <c r="T169" s="113"/>
      <c r="U169" s="65"/>
    </row>
    <row r="170" spans="1:21" ht="12.75">
      <c r="A170" s="2" t="s">
        <v>85</v>
      </c>
      <c r="B170" s="113">
        <v>8250000</v>
      </c>
      <c r="C170" s="113"/>
      <c r="E170" s="113"/>
      <c r="G170" s="2">
        <v>5000000</v>
      </c>
      <c r="H170" s="65">
        <v>5000000</v>
      </c>
      <c r="I170" s="113">
        <v>8250000</v>
      </c>
      <c r="J170" s="65"/>
      <c r="K170" s="113">
        <v>5250000</v>
      </c>
      <c r="L170" s="65"/>
      <c r="M170" s="65">
        <v>5000000</v>
      </c>
      <c r="N170" s="65"/>
      <c r="O170" s="65"/>
      <c r="P170" s="65"/>
      <c r="Q170" s="65"/>
      <c r="R170" s="65"/>
      <c r="S170" s="65"/>
      <c r="T170" s="113"/>
      <c r="U170" s="65"/>
    </row>
    <row r="171" spans="1:21" ht="12.75">
      <c r="A171" s="2" t="s">
        <v>86</v>
      </c>
      <c r="B171" s="113">
        <v>12000000</v>
      </c>
      <c r="C171" s="113"/>
      <c r="G171" s="2">
        <v>5000000</v>
      </c>
      <c r="H171" s="65">
        <v>8000000</v>
      </c>
      <c r="I171" s="113">
        <v>12000000</v>
      </c>
      <c r="J171" s="65"/>
      <c r="K171" s="113">
        <v>12000000</v>
      </c>
      <c r="L171" s="65"/>
      <c r="M171" s="65"/>
      <c r="N171" s="65"/>
      <c r="O171" s="65"/>
      <c r="P171" s="65"/>
      <c r="Q171" s="65"/>
      <c r="R171" s="65"/>
      <c r="S171" s="65"/>
      <c r="T171" s="113"/>
      <c r="U171" s="65"/>
    </row>
    <row r="172" spans="1:21" ht="12.75">
      <c r="A172" s="2" t="s">
        <v>87</v>
      </c>
      <c r="B172" s="113">
        <v>8000000</v>
      </c>
      <c r="C172" s="113"/>
      <c r="G172" s="2">
        <v>5000000</v>
      </c>
      <c r="H172" s="65">
        <v>5000000</v>
      </c>
      <c r="I172" s="113">
        <v>8000000</v>
      </c>
      <c r="J172" s="65"/>
      <c r="K172" s="113">
        <v>5000000</v>
      </c>
      <c r="L172" s="65"/>
      <c r="M172" s="65"/>
      <c r="N172" s="65"/>
      <c r="O172" s="65"/>
      <c r="P172" s="65"/>
      <c r="Q172" s="65"/>
      <c r="R172" s="65"/>
      <c r="S172" s="65"/>
      <c r="T172" s="113"/>
      <c r="U172" s="65"/>
    </row>
    <row r="173" spans="1:21" s="55" customFormat="1" ht="12.75">
      <c r="A173" s="43" t="s">
        <v>439</v>
      </c>
      <c r="B173" s="115">
        <v>244372000</v>
      </c>
      <c r="C173" s="115"/>
      <c r="D173" s="43"/>
      <c r="E173" s="43">
        <f>20000000+20000000+10000000</f>
        <v>50000000</v>
      </c>
      <c r="F173" s="43"/>
      <c r="G173" s="43"/>
      <c r="H173" s="115"/>
      <c r="I173" s="115">
        <v>244372000</v>
      </c>
      <c r="J173" s="115"/>
      <c r="K173" s="115"/>
      <c r="L173" s="115"/>
      <c r="M173" s="115">
        <f>8162500+5000000</f>
        <v>13162500</v>
      </c>
      <c r="N173" s="115"/>
      <c r="O173" s="115"/>
      <c r="P173" s="115"/>
      <c r="Q173" s="115"/>
      <c r="R173" s="115"/>
      <c r="S173" s="115">
        <v>126837500</v>
      </c>
      <c r="T173" s="115"/>
      <c r="U173" s="115"/>
    </row>
    <row r="174" spans="1:21" ht="12.75">
      <c r="A174" s="2" t="s">
        <v>29</v>
      </c>
      <c r="B174" s="113">
        <v>12000000</v>
      </c>
      <c r="C174" s="113"/>
      <c r="H174" s="65"/>
      <c r="I174" s="113">
        <v>12000000</v>
      </c>
      <c r="J174" s="65"/>
      <c r="K174" s="113"/>
      <c r="L174" s="65"/>
      <c r="M174" s="65"/>
      <c r="N174" s="65"/>
      <c r="O174" s="65"/>
      <c r="P174" s="65"/>
      <c r="Q174" s="65"/>
      <c r="R174" s="65"/>
      <c r="S174" s="65"/>
      <c r="T174" s="65"/>
      <c r="U174" s="65"/>
    </row>
    <row r="175" spans="1:21" ht="12.75">
      <c r="A175" s="2" t="s">
        <v>32</v>
      </c>
      <c r="B175" s="113">
        <v>2000000</v>
      </c>
      <c r="C175" s="113"/>
      <c r="H175" s="65"/>
      <c r="I175" s="113">
        <v>2000000</v>
      </c>
      <c r="J175" s="65"/>
      <c r="K175" s="113">
        <v>1000000</v>
      </c>
      <c r="L175" s="65"/>
      <c r="M175" s="65"/>
      <c r="N175" s="65"/>
      <c r="O175" s="65"/>
      <c r="P175" s="65"/>
      <c r="Q175" s="65"/>
      <c r="R175" s="65"/>
      <c r="S175" s="65"/>
      <c r="T175" s="65"/>
      <c r="U175" s="65"/>
    </row>
    <row r="176" spans="1:21" ht="12.75">
      <c r="A176" s="2" t="s">
        <v>28</v>
      </c>
      <c r="B176" s="113">
        <v>2000000</v>
      </c>
      <c r="C176" s="113"/>
      <c r="H176" s="65"/>
      <c r="I176" s="113">
        <v>2000000</v>
      </c>
      <c r="J176" s="65"/>
      <c r="K176" s="113"/>
      <c r="L176" s="65"/>
      <c r="M176" s="65"/>
      <c r="N176" s="65"/>
      <c r="O176" s="65"/>
      <c r="P176" s="65"/>
      <c r="Q176" s="65"/>
      <c r="R176" s="65"/>
      <c r="S176" s="65"/>
      <c r="T176" s="65"/>
      <c r="U176" s="65"/>
    </row>
    <row r="177" spans="1:21" s="90" customFormat="1" ht="12.75">
      <c r="A177" s="32" t="s">
        <v>88</v>
      </c>
      <c r="B177" s="116">
        <f>SUM(B163:B176)</f>
        <v>324822000</v>
      </c>
      <c r="C177" s="116">
        <f>SUM(D177:U177)</f>
        <v>944072000</v>
      </c>
      <c r="D177" s="5">
        <f>SUM(D162:D176)</f>
        <v>0</v>
      </c>
      <c r="E177" s="89">
        <f>SUM(E162:E176)</f>
        <v>50000000</v>
      </c>
      <c r="F177" s="5">
        <f>SUM(F162:F176)</f>
        <v>0</v>
      </c>
      <c r="G177" s="85">
        <f>SUM(G162:G176)</f>
        <v>25000000</v>
      </c>
      <c r="H177" s="89">
        <f aca="true" t="shared" si="6" ref="H177:U177">SUM(H162:H176)</f>
        <v>140000000</v>
      </c>
      <c r="I177" s="5">
        <f t="shared" si="6"/>
        <v>314822000</v>
      </c>
      <c r="J177" s="89">
        <f t="shared" si="6"/>
        <v>0</v>
      </c>
      <c r="K177" s="89">
        <f t="shared" si="6"/>
        <v>39250000</v>
      </c>
      <c r="L177" s="89">
        <f t="shared" si="6"/>
        <v>0</v>
      </c>
      <c r="M177" s="89">
        <f t="shared" si="6"/>
        <v>23162500</v>
      </c>
      <c r="N177" s="89">
        <f t="shared" si="6"/>
        <v>100000000</v>
      </c>
      <c r="O177" s="89">
        <f t="shared" si="6"/>
        <v>0</v>
      </c>
      <c r="P177" s="89">
        <f t="shared" si="6"/>
        <v>0</v>
      </c>
      <c r="Q177" s="89">
        <f t="shared" si="6"/>
        <v>0</v>
      </c>
      <c r="R177" s="89">
        <f t="shared" si="6"/>
        <v>0</v>
      </c>
      <c r="S177" s="89">
        <f t="shared" si="6"/>
        <v>126837500</v>
      </c>
      <c r="T177" s="89">
        <f t="shared" si="6"/>
        <v>125000000</v>
      </c>
      <c r="U177" s="89">
        <f t="shared" si="6"/>
        <v>0</v>
      </c>
    </row>
    <row r="178" spans="1:21" s="93" customFormat="1" ht="12.75">
      <c r="A178" s="91" t="s">
        <v>217</v>
      </c>
      <c r="B178" s="117">
        <f>B146+B160+B177</f>
        <v>1609272000</v>
      </c>
      <c r="C178" s="117">
        <f>SUM(D178:U178)</f>
        <v>2288522000</v>
      </c>
      <c r="D178" s="217">
        <f aca="true" t="shared" si="7" ref="D178:U178">D146+D160+D177</f>
        <v>0</v>
      </c>
      <c r="E178" s="217">
        <f t="shared" si="7"/>
        <v>50000000</v>
      </c>
      <c r="F178" s="217">
        <f t="shared" si="7"/>
        <v>1115000000</v>
      </c>
      <c r="G178" s="217">
        <f t="shared" si="7"/>
        <v>25000000</v>
      </c>
      <c r="H178" s="217">
        <f t="shared" si="7"/>
        <v>140000000</v>
      </c>
      <c r="I178" s="217">
        <f t="shared" si="7"/>
        <v>484272000</v>
      </c>
      <c r="J178" s="217">
        <f t="shared" si="7"/>
        <v>0</v>
      </c>
      <c r="K178" s="217">
        <f t="shared" si="7"/>
        <v>39250000</v>
      </c>
      <c r="L178" s="217">
        <f t="shared" si="7"/>
        <v>0</v>
      </c>
      <c r="M178" s="217">
        <f t="shared" si="7"/>
        <v>23162500</v>
      </c>
      <c r="N178" s="217">
        <f t="shared" si="7"/>
        <v>100000000</v>
      </c>
      <c r="O178" s="217">
        <f t="shared" si="7"/>
        <v>0</v>
      </c>
      <c r="P178" s="217">
        <f t="shared" si="7"/>
        <v>0</v>
      </c>
      <c r="Q178" s="217">
        <f t="shared" si="7"/>
        <v>0</v>
      </c>
      <c r="R178" s="217">
        <f t="shared" si="7"/>
        <v>0</v>
      </c>
      <c r="S178" s="217">
        <f t="shared" si="7"/>
        <v>126837500</v>
      </c>
      <c r="T178" s="217">
        <f t="shared" si="7"/>
        <v>185000000</v>
      </c>
      <c r="U178" s="217">
        <f t="shared" si="7"/>
        <v>0</v>
      </c>
    </row>
    <row r="179" spans="1:21" s="19" customFormat="1" ht="12.75">
      <c r="A179" s="80"/>
      <c r="B179" s="118"/>
      <c r="C179" s="118"/>
      <c r="D179" s="25"/>
      <c r="E179" s="25"/>
      <c r="F179" s="25"/>
      <c r="G179" s="25"/>
      <c r="H179" s="25"/>
      <c r="I179" s="26"/>
      <c r="J179" s="25"/>
      <c r="K179" s="53"/>
      <c r="L179" s="53"/>
      <c r="M179" s="53"/>
      <c r="N179" s="53"/>
      <c r="O179" s="25"/>
      <c r="P179" s="25"/>
      <c r="Q179" s="25"/>
      <c r="R179" s="25"/>
      <c r="S179" s="25"/>
      <c r="T179" s="25"/>
      <c r="U179" s="25"/>
    </row>
    <row r="180" spans="2:17" ht="12.75">
      <c r="B180" s="113"/>
      <c r="C180" s="113"/>
      <c r="K180" s="25"/>
      <c r="L180" s="25"/>
      <c r="M180" s="25"/>
      <c r="N180" s="25"/>
      <c r="O180" s="25"/>
      <c r="P180" s="25"/>
      <c r="Q180" s="25"/>
    </row>
    <row r="181" spans="1:3" ht="12.75">
      <c r="A181" s="86" t="s">
        <v>249</v>
      </c>
      <c r="B181" s="108"/>
      <c r="C181" s="108"/>
    </row>
    <row r="182" ht="25.5">
      <c r="A182" s="28" t="s">
        <v>250</v>
      </c>
    </row>
    <row r="183" ht="12.75">
      <c r="A183" s="28" t="s">
        <v>224</v>
      </c>
    </row>
    <row r="184" spans="1:3" ht="12.75">
      <c r="A184" s="28" t="s">
        <v>251</v>
      </c>
      <c r="C184" s="126"/>
    </row>
    <row r="185" spans="1:11" ht="12.75">
      <c r="A185" s="36" t="s">
        <v>234</v>
      </c>
      <c r="B185" s="102">
        <v>80000000</v>
      </c>
      <c r="C185" s="111">
        <f aca="true" t="shared" si="8" ref="C185:C244">SUM(D185:U185)</f>
        <v>90000000</v>
      </c>
      <c r="E185" s="65">
        <v>5000000</v>
      </c>
      <c r="I185" s="102">
        <f>B185</f>
        <v>80000000</v>
      </c>
      <c r="K185" s="65">
        <v>5000000</v>
      </c>
    </row>
    <row r="186" spans="1:11" ht="12.75">
      <c r="A186" s="36" t="s">
        <v>219</v>
      </c>
      <c r="B186" s="102">
        <v>172500000</v>
      </c>
      <c r="C186" s="111">
        <f t="shared" si="8"/>
        <v>182500000</v>
      </c>
      <c r="E186" s="65">
        <v>5000000</v>
      </c>
      <c r="I186" s="102">
        <v>172500000</v>
      </c>
      <c r="K186" s="65">
        <v>5000000</v>
      </c>
    </row>
    <row r="187" spans="1:11" ht="12.75">
      <c r="A187" s="36" t="s">
        <v>220</v>
      </c>
      <c r="B187" s="102">
        <v>14400000</v>
      </c>
      <c r="C187" s="111">
        <f t="shared" si="8"/>
        <v>19400000</v>
      </c>
      <c r="E187" s="65"/>
      <c r="I187" s="102">
        <v>14400000</v>
      </c>
      <c r="K187" s="65">
        <v>5000000</v>
      </c>
    </row>
    <row r="188" spans="1:11" ht="12.75">
      <c r="A188" s="36" t="s">
        <v>221</v>
      </c>
      <c r="B188" s="102">
        <v>15000000</v>
      </c>
      <c r="C188" s="111">
        <f t="shared" si="8"/>
        <v>20000000</v>
      </c>
      <c r="E188" s="65"/>
      <c r="I188" s="102">
        <v>15000000</v>
      </c>
      <c r="K188" s="65">
        <v>5000000</v>
      </c>
    </row>
    <row r="189" spans="1:11" ht="12.75">
      <c r="A189" s="36" t="s">
        <v>222</v>
      </c>
      <c r="B189" s="102">
        <v>44000000</v>
      </c>
      <c r="C189" s="111">
        <f t="shared" si="8"/>
        <v>44000000</v>
      </c>
      <c r="E189" s="65"/>
      <c r="I189" s="102">
        <v>44000000</v>
      </c>
      <c r="K189" s="65"/>
    </row>
    <row r="190" spans="1:11" ht="12.75">
      <c r="A190" s="36" t="s">
        <v>223</v>
      </c>
      <c r="B190" s="102">
        <v>11000000</v>
      </c>
      <c r="C190" s="111">
        <f t="shared" si="8"/>
        <v>11000000</v>
      </c>
      <c r="E190" s="65"/>
      <c r="I190" s="102">
        <v>11000000</v>
      </c>
      <c r="K190" s="65"/>
    </row>
    <row r="191" spans="1:11" ht="12.75">
      <c r="A191" s="36" t="s">
        <v>208</v>
      </c>
      <c r="B191" s="102">
        <v>3000000</v>
      </c>
      <c r="C191" s="111">
        <f t="shared" si="8"/>
        <v>3000000</v>
      </c>
      <c r="E191" s="65"/>
      <c r="I191" s="102">
        <v>3000000</v>
      </c>
      <c r="K191" s="65"/>
    </row>
    <row r="192" spans="1:11" ht="12.75">
      <c r="A192" s="36" t="s">
        <v>29</v>
      </c>
      <c r="B192" s="102">
        <v>600000</v>
      </c>
      <c r="C192" s="111">
        <f t="shared" si="8"/>
        <v>600000</v>
      </c>
      <c r="E192" s="65"/>
      <c r="I192" s="102">
        <v>600000</v>
      </c>
      <c r="K192" s="65"/>
    </row>
    <row r="193" spans="1:11" ht="12.75">
      <c r="A193" s="36" t="s">
        <v>32</v>
      </c>
      <c r="B193" s="102">
        <v>1500000</v>
      </c>
      <c r="C193" s="111">
        <f t="shared" si="8"/>
        <v>3500000</v>
      </c>
      <c r="E193" s="65"/>
      <c r="I193" s="102">
        <v>1500000</v>
      </c>
      <c r="K193" s="65">
        <v>2000000</v>
      </c>
    </row>
    <row r="194" spans="1:11" ht="12.75">
      <c r="A194" s="36"/>
      <c r="B194" s="103">
        <f>SUM(B185:B193)</f>
        <v>342000000</v>
      </c>
      <c r="C194" s="87">
        <f t="shared" si="8"/>
        <v>374000000</v>
      </c>
      <c r="E194" s="108">
        <f>SUM(E185:E193)</f>
        <v>10000000</v>
      </c>
      <c r="I194" s="103">
        <f>SUM(I185:I193)</f>
        <v>342000000</v>
      </c>
      <c r="K194" s="108">
        <f>SUM(K185:K193)</f>
        <v>22000000</v>
      </c>
    </row>
    <row r="195" spans="1:11" ht="12.75">
      <c r="A195" s="50"/>
      <c r="B195" s="100"/>
      <c r="C195" s="111"/>
      <c r="E195" s="65"/>
      <c r="I195" s="100"/>
      <c r="K195" s="65"/>
    </row>
    <row r="196" spans="1:11" ht="12.75">
      <c r="A196" s="28" t="s">
        <v>434</v>
      </c>
      <c r="C196" s="126"/>
      <c r="E196" s="65"/>
      <c r="I196" s="100"/>
      <c r="K196" s="65"/>
    </row>
    <row r="197" spans="1:11" ht="12.75">
      <c r="A197" s="36" t="s">
        <v>234</v>
      </c>
      <c r="B197" s="102">
        <v>80000000</v>
      </c>
      <c r="C197" s="111">
        <f aca="true" t="shared" si="9" ref="C197:C205">SUM(D197:U197)</f>
        <v>90000000</v>
      </c>
      <c r="E197" s="65">
        <v>5000000</v>
      </c>
      <c r="I197" s="102">
        <f>B197</f>
        <v>80000000</v>
      </c>
      <c r="K197" s="65">
        <v>5000000</v>
      </c>
    </row>
    <row r="198" spans="1:11" ht="12.75">
      <c r="A198" s="36" t="s">
        <v>219</v>
      </c>
      <c r="B198" s="102">
        <v>172500000</v>
      </c>
      <c r="C198" s="111">
        <f t="shared" si="9"/>
        <v>182500000</v>
      </c>
      <c r="E198" s="65">
        <v>5000000</v>
      </c>
      <c r="I198" s="102">
        <v>172500000</v>
      </c>
      <c r="K198" s="65">
        <v>5000000</v>
      </c>
    </row>
    <row r="199" spans="1:11" ht="12.75">
      <c r="A199" s="36" t="s">
        <v>220</v>
      </c>
      <c r="B199" s="102">
        <v>14400000</v>
      </c>
      <c r="C199" s="111">
        <f t="shared" si="9"/>
        <v>19400000</v>
      </c>
      <c r="E199" s="65"/>
      <c r="I199" s="102">
        <v>14400000</v>
      </c>
      <c r="K199" s="65">
        <v>5000000</v>
      </c>
    </row>
    <row r="200" spans="1:11" ht="12.75">
      <c r="A200" s="36" t="s">
        <v>221</v>
      </c>
      <c r="B200" s="102">
        <v>15000000</v>
      </c>
      <c r="C200" s="111">
        <f t="shared" si="9"/>
        <v>20000000</v>
      </c>
      <c r="E200" s="65"/>
      <c r="I200" s="102">
        <v>15000000</v>
      </c>
      <c r="K200" s="65">
        <v>5000000</v>
      </c>
    </row>
    <row r="201" spans="1:11" ht="12.75">
      <c r="A201" s="36" t="s">
        <v>222</v>
      </c>
      <c r="B201" s="102">
        <v>44000000</v>
      </c>
      <c r="C201" s="111">
        <f t="shared" si="9"/>
        <v>44000000</v>
      </c>
      <c r="E201" s="65"/>
      <c r="I201" s="102">
        <v>44000000</v>
      </c>
      <c r="K201" s="65"/>
    </row>
    <row r="202" spans="1:11" ht="12.75">
      <c r="A202" s="36" t="s">
        <v>208</v>
      </c>
      <c r="B202" s="102">
        <v>3000000</v>
      </c>
      <c r="C202" s="111">
        <f t="shared" si="9"/>
        <v>3000000</v>
      </c>
      <c r="E202" s="65"/>
      <c r="I202" s="102">
        <v>3000000</v>
      </c>
      <c r="K202" s="65"/>
    </row>
    <row r="203" spans="1:11" ht="12.75">
      <c r="A203" s="36" t="s">
        <v>29</v>
      </c>
      <c r="B203" s="102">
        <v>600000</v>
      </c>
      <c r="C203" s="111">
        <f t="shared" si="9"/>
        <v>600000</v>
      </c>
      <c r="E203" s="65"/>
      <c r="I203" s="102">
        <v>600000</v>
      </c>
      <c r="K203" s="65"/>
    </row>
    <row r="204" spans="1:11" ht="12.75">
      <c r="A204" s="36" t="s">
        <v>32</v>
      </c>
      <c r="B204" s="102">
        <v>1500000</v>
      </c>
      <c r="C204" s="111">
        <f t="shared" si="9"/>
        <v>3500000</v>
      </c>
      <c r="E204" s="65"/>
      <c r="I204" s="102">
        <v>1500000</v>
      </c>
      <c r="K204" s="65">
        <v>2000000</v>
      </c>
    </row>
    <row r="205" spans="1:11" ht="12.75">
      <c r="A205" s="36"/>
      <c r="B205" s="103">
        <f>SUM(B197:B204)</f>
        <v>331000000</v>
      </c>
      <c r="C205" s="87">
        <f t="shared" si="9"/>
        <v>363000000</v>
      </c>
      <c r="D205" s="1"/>
      <c r="E205" s="108">
        <f>SUM(E197:E204)</f>
        <v>10000000</v>
      </c>
      <c r="I205" s="103">
        <f>SUM(I197:I204)</f>
        <v>331000000</v>
      </c>
      <c r="K205" s="108">
        <f>SUM(K197:K204)</f>
        <v>22000000</v>
      </c>
    </row>
    <row r="206" spans="1:9" ht="12.75">
      <c r="A206" s="50"/>
      <c r="B206" s="100"/>
      <c r="C206" s="111"/>
      <c r="I206" s="100"/>
    </row>
    <row r="207" spans="1:9" ht="12.75">
      <c r="A207" s="50"/>
      <c r="B207" s="100"/>
      <c r="C207" s="111"/>
      <c r="I207" s="100"/>
    </row>
    <row r="208" spans="1:9" ht="12.75">
      <c r="A208" s="20" t="s">
        <v>435</v>
      </c>
      <c r="B208" s="100"/>
      <c r="C208" s="111">
        <f t="shared" si="8"/>
        <v>0</v>
      </c>
      <c r="I208" s="100"/>
    </row>
    <row r="209" spans="1:11" ht="12.75">
      <c r="A209" s="36" t="s">
        <v>225</v>
      </c>
      <c r="B209" s="102">
        <v>75000000</v>
      </c>
      <c r="C209" s="111">
        <f t="shared" si="8"/>
        <v>75000000</v>
      </c>
      <c r="E209" s="65"/>
      <c r="I209" s="102">
        <v>75000000</v>
      </c>
      <c r="K209" s="65"/>
    </row>
    <row r="210" spans="1:11" ht="12.75">
      <c r="A210" s="36" t="s">
        <v>219</v>
      </c>
      <c r="B210" s="102">
        <v>375000000</v>
      </c>
      <c r="C210" s="111">
        <f t="shared" si="8"/>
        <v>455000000</v>
      </c>
      <c r="E210" s="65">
        <v>80000000</v>
      </c>
      <c r="I210" s="102">
        <f>B210-E210</f>
        <v>295000000</v>
      </c>
      <c r="K210" s="65">
        <v>80000000</v>
      </c>
    </row>
    <row r="211" spans="1:11" ht="12.75">
      <c r="A211" s="36" t="s">
        <v>260</v>
      </c>
      <c r="B211" s="102">
        <v>36000000</v>
      </c>
      <c r="C211" s="111">
        <f t="shared" si="8"/>
        <v>56000000</v>
      </c>
      <c r="E211" s="65">
        <f>20000000</f>
        <v>20000000</v>
      </c>
      <c r="I211" s="102">
        <f>B211-E211</f>
        <v>16000000</v>
      </c>
      <c r="K211" s="65">
        <f>20000000</f>
        <v>20000000</v>
      </c>
    </row>
    <row r="212" spans="1:11" ht="12.75">
      <c r="A212" s="36" t="s">
        <v>226</v>
      </c>
      <c r="B212" s="102">
        <v>36000000</v>
      </c>
      <c r="C212" s="111">
        <f t="shared" si="8"/>
        <v>61000000</v>
      </c>
      <c r="E212" s="65"/>
      <c r="I212" s="102">
        <v>36000000</v>
      </c>
      <c r="K212" s="65">
        <v>25000000</v>
      </c>
    </row>
    <row r="213" spans="1:11" ht="12.75">
      <c r="A213" s="36" t="s">
        <v>208</v>
      </c>
      <c r="B213" s="102">
        <v>72000000</v>
      </c>
      <c r="C213" s="111">
        <f t="shared" si="8"/>
        <v>72000000</v>
      </c>
      <c r="E213" s="65"/>
      <c r="I213" s="102">
        <v>72000000</v>
      </c>
      <c r="K213" s="65"/>
    </row>
    <row r="214" spans="1:11" ht="12.75">
      <c r="A214" s="36" t="s">
        <v>29</v>
      </c>
      <c r="B214" s="102">
        <v>12000000</v>
      </c>
      <c r="C214" s="111">
        <f t="shared" si="8"/>
        <v>12000000</v>
      </c>
      <c r="E214" s="65"/>
      <c r="I214" s="102">
        <v>12000000</v>
      </c>
      <c r="K214" s="65"/>
    </row>
    <row r="215" spans="1:11" ht="12.75">
      <c r="A215" s="36" t="s">
        <v>32</v>
      </c>
      <c r="B215" s="102">
        <v>6000000</v>
      </c>
      <c r="C215" s="111">
        <f t="shared" si="8"/>
        <v>6000000</v>
      </c>
      <c r="E215" s="65"/>
      <c r="I215" s="102">
        <v>6000000</v>
      </c>
      <c r="K215" s="65"/>
    </row>
    <row r="216" spans="1:11" ht="12.75">
      <c r="A216" s="36" t="s">
        <v>28</v>
      </c>
      <c r="B216" s="102">
        <v>2000000</v>
      </c>
      <c r="C216" s="111">
        <f t="shared" si="8"/>
        <v>2000000</v>
      </c>
      <c r="E216" s="65"/>
      <c r="I216" s="102">
        <v>2000000</v>
      </c>
      <c r="K216" s="65"/>
    </row>
    <row r="217" spans="1:11" ht="12.75">
      <c r="A217" s="36"/>
      <c r="B217" s="103">
        <f>SUM(B209:B216)</f>
        <v>614000000</v>
      </c>
      <c r="C217" s="111">
        <f t="shared" si="8"/>
        <v>739000000</v>
      </c>
      <c r="E217" s="108">
        <f>SUM(E210:E216)</f>
        <v>100000000</v>
      </c>
      <c r="I217" s="103">
        <f>SUM(I209:I216)</f>
        <v>514000000</v>
      </c>
      <c r="K217" s="108">
        <f>SUM(K210:K216)</f>
        <v>125000000</v>
      </c>
    </row>
    <row r="218" spans="1:9" ht="12.75">
      <c r="A218" s="86" t="s">
        <v>436</v>
      </c>
      <c r="B218" s="103"/>
      <c r="C218" s="111">
        <f t="shared" si="8"/>
        <v>0</v>
      </c>
      <c r="E218" s="65"/>
      <c r="I218" s="103"/>
    </row>
    <row r="219" spans="1:9" ht="12.75">
      <c r="A219" s="48" t="s">
        <v>227</v>
      </c>
      <c r="B219" s="102">
        <v>1600000</v>
      </c>
      <c r="C219" s="111">
        <f t="shared" si="8"/>
        <v>1600000</v>
      </c>
      <c r="E219" s="65"/>
      <c r="I219" s="102">
        <v>1600000</v>
      </c>
    </row>
    <row r="220" spans="1:9" ht="12.75">
      <c r="A220" s="48" t="s">
        <v>228</v>
      </c>
      <c r="B220" s="102">
        <f>1000*450</f>
        <v>450000</v>
      </c>
      <c r="C220" s="111">
        <f t="shared" si="8"/>
        <v>450000</v>
      </c>
      <c r="E220" s="65"/>
      <c r="I220" s="102">
        <f>1000*450</f>
        <v>450000</v>
      </c>
    </row>
    <row r="221" spans="1:9" ht="12.75">
      <c r="A221" s="48" t="s">
        <v>229</v>
      </c>
      <c r="B221" s="102">
        <f>11000000*6</f>
        <v>66000000</v>
      </c>
      <c r="C221" s="111">
        <f t="shared" si="8"/>
        <v>66000000</v>
      </c>
      <c r="E221" s="65"/>
      <c r="I221" s="102">
        <f>11000000*6</f>
        <v>66000000</v>
      </c>
    </row>
    <row r="222" spans="1:9" ht="12.75">
      <c r="A222" s="48" t="s">
        <v>230</v>
      </c>
      <c r="B222" s="102">
        <f>500000*6+2000000</f>
        <v>5000000</v>
      </c>
      <c r="C222" s="111">
        <f t="shared" si="8"/>
        <v>5000000</v>
      </c>
      <c r="E222" s="65"/>
      <c r="I222" s="102">
        <f>500000*6+2000000</f>
        <v>5000000</v>
      </c>
    </row>
    <row r="223" spans="1:9" ht="12.75">
      <c r="A223" s="48" t="s">
        <v>32</v>
      </c>
      <c r="B223" s="102">
        <v>3000000</v>
      </c>
      <c r="C223" s="111">
        <f t="shared" si="8"/>
        <v>3000000</v>
      </c>
      <c r="E223" s="65"/>
      <c r="I223" s="102">
        <v>3000000</v>
      </c>
    </row>
    <row r="224" spans="1:9" ht="12.75">
      <c r="A224" s="48" t="s">
        <v>28</v>
      </c>
      <c r="B224" s="102">
        <v>1500000</v>
      </c>
      <c r="C224" s="111">
        <f t="shared" si="8"/>
        <v>1500000</v>
      </c>
      <c r="E224" s="65"/>
      <c r="I224" s="102">
        <v>1500000</v>
      </c>
    </row>
    <row r="225" spans="1:9" ht="12.75">
      <c r="A225" s="48"/>
      <c r="B225" s="103">
        <f>SUM(B219:B224)</f>
        <v>77550000</v>
      </c>
      <c r="C225" s="111">
        <f t="shared" si="8"/>
        <v>77550000</v>
      </c>
      <c r="E225" s="65"/>
      <c r="I225" s="103">
        <f>SUM(I219:I224)</f>
        <v>77550000</v>
      </c>
    </row>
    <row r="226" spans="1:9" ht="12.75">
      <c r="A226" s="101" t="s">
        <v>437</v>
      </c>
      <c r="B226" s="103"/>
      <c r="C226" s="111">
        <f t="shared" si="8"/>
        <v>0</v>
      </c>
      <c r="E226" s="65"/>
      <c r="I226" s="103"/>
    </row>
    <row r="227" spans="1:11" ht="12.75">
      <c r="A227" s="104" t="s">
        <v>231</v>
      </c>
      <c r="B227" s="102">
        <f>10000000*4</f>
        <v>40000000</v>
      </c>
      <c r="C227" s="111">
        <f t="shared" si="8"/>
        <v>40000000</v>
      </c>
      <c r="E227" s="65"/>
      <c r="I227" s="102">
        <f>10000000*4</f>
        <v>40000000</v>
      </c>
      <c r="K227" s="65"/>
    </row>
    <row r="228" spans="1:11" ht="12.75">
      <c r="A228" s="104" t="s">
        <v>232</v>
      </c>
      <c r="B228" s="102">
        <v>10000000</v>
      </c>
      <c r="C228" s="111">
        <f t="shared" si="8"/>
        <v>10000000</v>
      </c>
      <c r="E228" s="65"/>
      <c r="I228" s="102">
        <v>10000000</v>
      </c>
      <c r="K228" s="65"/>
    </row>
    <row r="229" spans="1:11" ht="12.75">
      <c r="A229" s="104" t="s">
        <v>233</v>
      </c>
      <c r="B229" s="102">
        <f>3*25000000</f>
        <v>75000000</v>
      </c>
      <c r="C229" s="111">
        <f t="shared" si="8"/>
        <v>420000000</v>
      </c>
      <c r="E229" s="65">
        <v>100000000</v>
      </c>
      <c r="I229" s="102">
        <f>3*25000000</f>
        <v>75000000</v>
      </c>
      <c r="K229" s="65">
        <f>385000000-K231</f>
        <v>245000000</v>
      </c>
    </row>
    <row r="230" spans="1:11" ht="12.75">
      <c r="A230" s="104" t="s">
        <v>234</v>
      </c>
      <c r="B230" s="102">
        <f>3*10000000</f>
        <v>30000000</v>
      </c>
      <c r="C230" s="111">
        <f t="shared" si="8"/>
        <v>30000000</v>
      </c>
      <c r="E230" s="65"/>
      <c r="I230" s="102">
        <f>B230</f>
        <v>30000000</v>
      </c>
      <c r="K230" s="65"/>
    </row>
    <row r="231" spans="1:11" ht="12.75">
      <c r="A231" s="104" t="s">
        <v>235</v>
      </c>
      <c r="B231" s="102">
        <v>190000000</v>
      </c>
      <c r="C231" s="111">
        <f t="shared" si="8"/>
        <v>330000000</v>
      </c>
      <c r="E231" s="65">
        <v>50000000</v>
      </c>
      <c r="I231" s="102">
        <f>B231-E231</f>
        <v>140000000</v>
      </c>
      <c r="K231" s="65">
        <v>140000000</v>
      </c>
    </row>
    <row r="232" spans="1:11" ht="12.75">
      <c r="A232" s="48" t="s">
        <v>32</v>
      </c>
      <c r="B232" s="102">
        <v>6000000</v>
      </c>
      <c r="C232" s="111">
        <f t="shared" si="8"/>
        <v>6000000</v>
      </c>
      <c r="E232" s="65"/>
      <c r="I232" s="102">
        <v>6000000</v>
      </c>
      <c r="K232" s="65"/>
    </row>
    <row r="233" spans="1:11" ht="12.75">
      <c r="A233" s="48" t="s">
        <v>28</v>
      </c>
      <c r="B233" s="102">
        <v>5000000</v>
      </c>
      <c r="C233" s="111">
        <f t="shared" si="8"/>
        <v>5000000</v>
      </c>
      <c r="E233" s="65"/>
      <c r="I233" s="102">
        <v>5000000</v>
      </c>
      <c r="K233" s="65"/>
    </row>
    <row r="234" spans="1:11" ht="12.75">
      <c r="A234" s="48"/>
      <c r="B234" s="103">
        <f>SUM(B227:B233)</f>
        <v>356000000</v>
      </c>
      <c r="C234" s="87">
        <f t="shared" si="8"/>
        <v>841000000</v>
      </c>
      <c r="E234" s="108">
        <f>SUM(E227:E233)</f>
        <v>150000000</v>
      </c>
      <c r="I234" s="103">
        <f>SUM(I227:I233)</f>
        <v>306000000</v>
      </c>
      <c r="K234" s="108">
        <f>SUM(K227:K233)</f>
        <v>385000000</v>
      </c>
    </row>
    <row r="235" spans="1:9" ht="12.75">
      <c r="A235" s="101" t="s">
        <v>438</v>
      </c>
      <c r="B235" s="103"/>
      <c r="C235" s="111"/>
      <c r="E235" s="65"/>
      <c r="I235" s="103"/>
    </row>
    <row r="236" spans="1:20" ht="12.75">
      <c r="A236" s="104" t="s">
        <v>236</v>
      </c>
      <c r="B236" s="102">
        <v>5000000</v>
      </c>
      <c r="C236" s="111">
        <f t="shared" si="8"/>
        <v>10000000</v>
      </c>
      <c r="E236" s="65"/>
      <c r="I236" s="102">
        <v>5000000</v>
      </c>
      <c r="T236" s="102">
        <v>5000000</v>
      </c>
    </row>
    <row r="237" spans="1:20" ht="12.75">
      <c r="A237" s="3" t="s">
        <v>237</v>
      </c>
      <c r="B237" s="113"/>
      <c r="C237" s="111"/>
      <c r="E237" s="65"/>
      <c r="I237" s="113"/>
      <c r="T237" s="113"/>
    </row>
    <row r="238" spans="1:20" ht="12.75">
      <c r="A238" s="7" t="s">
        <v>55</v>
      </c>
      <c r="B238" s="113">
        <v>7500000</v>
      </c>
      <c r="C238" s="111">
        <f t="shared" si="8"/>
        <v>20000000</v>
      </c>
      <c r="E238" s="65">
        <v>5000000</v>
      </c>
      <c r="H238" s="111">
        <v>5000000</v>
      </c>
      <c r="I238" s="113">
        <f>B238-E238</f>
        <v>2500000</v>
      </c>
      <c r="N238" s="111">
        <v>5000000</v>
      </c>
      <c r="T238" s="113">
        <v>2500000</v>
      </c>
    </row>
    <row r="239" spans="1:20" ht="12.75">
      <c r="A239" s="7" t="s">
        <v>56</v>
      </c>
      <c r="B239" s="113">
        <v>1500000</v>
      </c>
      <c r="C239" s="111">
        <f t="shared" si="8"/>
        <v>9000000</v>
      </c>
      <c r="E239" s="65"/>
      <c r="H239" s="111">
        <v>3000000</v>
      </c>
      <c r="I239" s="113">
        <v>1500000</v>
      </c>
      <c r="N239" s="111">
        <v>3000000</v>
      </c>
      <c r="T239" s="113">
        <v>1500000</v>
      </c>
    </row>
    <row r="240" spans="1:20" ht="12.75">
      <c r="A240" s="7" t="s">
        <v>261</v>
      </c>
      <c r="B240" s="113">
        <v>5000000</v>
      </c>
      <c r="C240" s="111">
        <f t="shared" si="8"/>
        <v>30000000</v>
      </c>
      <c r="E240" s="65">
        <v>5000000</v>
      </c>
      <c r="H240" s="111">
        <v>10000000</v>
      </c>
      <c r="I240" s="113">
        <f>B240-E240</f>
        <v>0</v>
      </c>
      <c r="N240" s="111">
        <v>10000000</v>
      </c>
      <c r="T240" s="113">
        <v>5000000</v>
      </c>
    </row>
    <row r="241" spans="1:20" ht="12.75">
      <c r="A241" s="7" t="s">
        <v>8</v>
      </c>
      <c r="B241" s="113">
        <v>1490000</v>
      </c>
      <c r="C241" s="111">
        <f t="shared" si="8"/>
        <v>6990000</v>
      </c>
      <c r="E241" s="65"/>
      <c r="H241" s="111">
        <v>2000000</v>
      </c>
      <c r="I241" s="113">
        <v>1490000</v>
      </c>
      <c r="N241" s="111">
        <v>2000000</v>
      </c>
      <c r="T241" s="113">
        <v>1500000</v>
      </c>
    </row>
    <row r="242" spans="1:20" ht="12.75">
      <c r="A242" s="7" t="s">
        <v>32</v>
      </c>
      <c r="B242" s="113">
        <v>1000000</v>
      </c>
      <c r="C242" s="111">
        <f t="shared" si="8"/>
        <v>12000000</v>
      </c>
      <c r="E242" s="65"/>
      <c r="H242" s="111">
        <v>5000000</v>
      </c>
      <c r="I242" s="113">
        <v>1000000</v>
      </c>
      <c r="N242" s="111">
        <v>5000000</v>
      </c>
      <c r="T242" s="113">
        <v>1000000</v>
      </c>
    </row>
    <row r="243" spans="1:20" ht="12.75">
      <c r="A243" s="7" t="s">
        <v>28</v>
      </c>
      <c r="B243" s="113">
        <v>1500000</v>
      </c>
      <c r="C243" s="111">
        <f t="shared" si="8"/>
        <v>9000000</v>
      </c>
      <c r="E243" s="65"/>
      <c r="H243" s="111">
        <v>3000000</v>
      </c>
      <c r="I243" s="113">
        <v>1500000</v>
      </c>
      <c r="N243" s="111">
        <v>3000000</v>
      </c>
      <c r="T243" s="113">
        <v>1500000</v>
      </c>
    </row>
    <row r="244" spans="1:20" ht="12.75">
      <c r="A244" s="7"/>
      <c r="B244" s="119">
        <f>SUM(B236:B243)</f>
        <v>22990000</v>
      </c>
      <c r="C244" s="87">
        <f t="shared" si="8"/>
        <v>96990000</v>
      </c>
      <c r="D244" s="1"/>
      <c r="E244" s="108">
        <f>SUM(E236:E243)</f>
        <v>10000000</v>
      </c>
      <c r="F244" s="1"/>
      <c r="G244" s="1"/>
      <c r="H244" s="108">
        <f>SUM(H238:H243)</f>
        <v>28000000</v>
      </c>
      <c r="I244" s="119">
        <f>SUM(I236:I243)</f>
        <v>12990000</v>
      </c>
      <c r="N244" s="108">
        <f>SUM(N238:N243)</f>
        <v>28000000</v>
      </c>
      <c r="T244" s="108">
        <f>SUM(T236:T243)</f>
        <v>18000000</v>
      </c>
    </row>
    <row r="245" spans="1:5" ht="12.75">
      <c r="A245" s="101"/>
      <c r="B245" s="103"/>
      <c r="E245" s="65"/>
    </row>
    <row r="246" spans="1:21" s="90" customFormat="1" ht="12.75">
      <c r="A246" s="240" t="s">
        <v>258</v>
      </c>
      <c r="B246" s="241">
        <f>B194+B205+B217+B225+B234+B244</f>
        <v>1743540000</v>
      </c>
      <c r="C246" s="242">
        <f>SUM(D246:U246)</f>
        <v>2491540000</v>
      </c>
      <c r="D246" s="243"/>
      <c r="E246" s="241">
        <f>E194+E205+E217+E225+E234+E244</f>
        <v>280000000</v>
      </c>
      <c r="F246" s="243"/>
      <c r="G246" s="243"/>
      <c r="H246" s="241">
        <f aca="true" t="shared" si="10" ref="H246:U246">H194+H205+H217+H225+H234+H244</f>
        <v>28000000</v>
      </c>
      <c r="I246" s="241">
        <f t="shared" si="10"/>
        <v>1583540000</v>
      </c>
      <c r="J246" s="241">
        <f t="shared" si="10"/>
        <v>0</v>
      </c>
      <c r="K246" s="241">
        <f t="shared" si="10"/>
        <v>554000000</v>
      </c>
      <c r="L246" s="241">
        <f t="shared" si="10"/>
        <v>0</v>
      </c>
      <c r="M246" s="241">
        <f t="shared" si="10"/>
        <v>0</v>
      </c>
      <c r="N246" s="241">
        <f t="shared" si="10"/>
        <v>28000000</v>
      </c>
      <c r="O246" s="241">
        <f t="shared" si="10"/>
        <v>0</v>
      </c>
      <c r="P246" s="241">
        <f t="shared" si="10"/>
        <v>0</v>
      </c>
      <c r="Q246" s="241">
        <f t="shared" si="10"/>
        <v>0</v>
      </c>
      <c r="R246" s="241">
        <f t="shared" si="10"/>
        <v>0</v>
      </c>
      <c r="S246" s="241">
        <f t="shared" si="10"/>
        <v>0</v>
      </c>
      <c r="T246" s="241">
        <f t="shared" si="10"/>
        <v>18000000</v>
      </c>
      <c r="U246" s="241">
        <f t="shared" si="10"/>
        <v>0</v>
      </c>
    </row>
    <row r="247" spans="1:21" s="19" customFormat="1" ht="12.75">
      <c r="A247" s="244" t="s">
        <v>496</v>
      </c>
      <c r="B247" s="245"/>
      <c r="C247" s="246"/>
      <c r="D247" s="247"/>
      <c r="E247" s="245"/>
      <c r="F247" s="247"/>
      <c r="G247" s="247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45"/>
      <c r="U247" s="245"/>
    </row>
    <row r="248" spans="1:21" s="19" customFormat="1" ht="12.75">
      <c r="A248" s="244" t="s">
        <v>497</v>
      </c>
      <c r="B248" s="306">
        <v>187500000</v>
      </c>
      <c r="C248" s="307"/>
      <c r="D248" s="308"/>
      <c r="E248" s="306"/>
      <c r="F248" s="306">
        <v>187500000</v>
      </c>
      <c r="G248" s="247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45"/>
      <c r="U248" s="245"/>
    </row>
    <row r="249" spans="1:21" s="19" customFormat="1" ht="12.75">
      <c r="A249" s="244" t="s"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45"/>
      <c r="U249" s="245"/>
    </row>
    <row r="250" spans="1:21" s="19" customFormat="1" ht="12.75">
      <c r="A250" s="244" t="s">
        <v>499</v>
      </c>
      <c r="B250" s="306">
        <v>50000000</v>
      </c>
      <c r="C250" s="307"/>
      <c r="D250" s="308"/>
      <c r="E250" s="306"/>
      <c r="F250" s="306">
        <v>50000000</v>
      </c>
      <c r="G250" s="247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45"/>
      <c r="U250" s="245"/>
    </row>
    <row r="251" spans="1:21" s="19" customFormat="1" ht="12.75">
      <c r="A251" s="244"/>
      <c r="B251" s="245"/>
      <c r="C251" s="246"/>
      <c r="D251" s="247"/>
      <c r="E251" s="245"/>
      <c r="F251" s="247"/>
      <c r="G251" s="247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45"/>
      <c r="U251" s="245"/>
    </row>
    <row r="252" spans="1:21" s="90" customFormat="1" ht="25.5">
      <c r="A252" s="277" t="s">
        <v>447</v>
      </c>
      <c r="B252" s="253"/>
      <c r="C252" s="87"/>
      <c r="D252" s="247"/>
      <c r="E252" s="245"/>
      <c r="F252" s="247"/>
      <c r="G252" s="273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45"/>
      <c r="U252" s="245"/>
    </row>
    <row r="253" spans="1:21" s="90" customFormat="1" ht="15.75">
      <c r="A253" s="278" t="s">
        <v>448</v>
      </c>
      <c r="B253" s="254">
        <v>210000000</v>
      </c>
      <c r="C253" s="271"/>
      <c r="D253" s="247"/>
      <c r="E253" s="245"/>
      <c r="F253" s="247"/>
      <c r="G253" s="273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45"/>
      <c r="U253" s="245"/>
    </row>
    <row r="254" spans="1:21" s="90" customFormat="1" ht="15.75">
      <c r="A254" s="278" t="s">
        <v>449</v>
      </c>
      <c r="B254" s="254">
        <v>150000000</v>
      </c>
      <c r="C254" s="271"/>
      <c r="D254" s="247"/>
      <c r="E254" s="245"/>
      <c r="F254" s="247"/>
      <c r="G254" s="273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45"/>
      <c r="U254" s="245"/>
    </row>
    <row r="255" spans="1:21" s="90" customFormat="1" ht="15" customHeight="1">
      <c r="A255" s="279" t="s">
        <v>450</v>
      </c>
      <c r="B255" s="255">
        <v>180000000</v>
      </c>
      <c r="C255" s="271"/>
      <c r="D255" s="247"/>
      <c r="E255" s="245"/>
      <c r="F255" s="247"/>
      <c r="G255" s="273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45"/>
      <c r="U255" s="245"/>
    </row>
    <row r="256" spans="1:21" s="90" customFormat="1" ht="15" customHeight="1">
      <c r="A256" s="279" t="s">
        <v>451</v>
      </c>
      <c r="B256" s="254">
        <v>45000000</v>
      </c>
      <c r="C256" s="271"/>
      <c r="D256" s="247"/>
      <c r="E256" s="245"/>
      <c r="F256" s="247"/>
      <c r="G256" s="273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45"/>
      <c r="U256" s="245"/>
    </row>
    <row r="257" spans="1:21" s="90" customFormat="1" ht="15" customHeight="1">
      <c r="A257" s="279" t="s">
        <v>452</v>
      </c>
      <c r="B257" s="254">
        <v>79248000</v>
      </c>
      <c r="C257" s="271"/>
      <c r="D257" s="247"/>
      <c r="E257" s="245"/>
      <c r="F257" s="247"/>
      <c r="G257" s="273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45"/>
      <c r="U257" s="245"/>
    </row>
    <row r="258" spans="1:21" s="90" customFormat="1" ht="15.75">
      <c r="A258" s="280" t="s">
        <v>453</v>
      </c>
      <c r="B258" s="254">
        <v>142201500</v>
      </c>
      <c r="C258" s="271"/>
      <c r="D258" s="247"/>
      <c r="E258" s="245"/>
      <c r="F258" s="247"/>
      <c r="G258" s="273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45"/>
      <c r="U258" s="245"/>
    </row>
    <row r="259" spans="1:21" s="90" customFormat="1" ht="15" customHeight="1">
      <c r="A259" s="279" t="s">
        <v>454</v>
      </c>
      <c r="B259" s="254">
        <v>113400000</v>
      </c>
      <c r="C259" s="271"/>
      <c r="D259" s="247"/>
      <c r="E259" s="245"/>
      <c r="F259" s="247"/>
      <c r="G259" s="273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45"/>
      <c r="U259" s="245"/>
    </row>
    <row r="260" spans="1:21" s="90" customFormat="1" ht="15" customHeight="1">
      <c r="A260" s="279" t="s">
        <v>455</v>
      </c>
      <c r="B260" s="254">
        <v>75650000</v>
      </c>
      <c r="C260" s="271"/>
      <c r="D260" s="247"/>
      <c r="E260" s="245"/>
      <c r="F260" s="247"/>
      <c r="G260" s="273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45"/>
      <c r="U260" s="245"/>
    </row>
    <row r="261" spans="1:21" s="90" customFormat="1" ht="15" customHeight="1">
      <c r="A261" s="279" t="s">
        <v>456</v>
      </c>
      <c r="B261" s="254">
        <v>225000000</v>
      </c>
      <c r="C261" s="271"/>
      <c r="D261" s="247"/>
      <c r="E261" s="245"/>
      <c r="F261" s="247"/>
      <c r="G261" s="273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45"/>
      <c r="U261" s="245"/>
    </row>
    <row r="262" spans="1:21" s="90" customFormat="1" ht="15" customHeight="1">
      <c r="A262" s="279" t="s">
        <v>457</v>
      </c>
      <c r="B262" s="254">
        <v>150000000</v>
      </c>
      <c r="C262" s="271"/>
      <c r="D262" s="247"/>
      <c r="E262" s="245"/>
      <c r="F262" s="247"/>
      <c r="G262" s="273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45"/>
      <c r="U262" s="245"/>
    </row>
    <row r="263" spans="1:21" s="90" customFormat="1" ht="14.25">
      <c r="A263" s="281" t="s">
        <v>208</v>
      </c>
      <c r="B263" s="254">
        <v>1500000</v>
      </c>
      <c r="C263" s="271"/>
      <c r="D263" s="247"/>
      <c r="E263" s="245"/>
      <c r="F263" s="247"/>
      <c r="G263" s="273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45"/>
      <c r="U263" s="245"/>
    </row>
    <row r="264" spans="1:21" s="90" customFormat="1" ht="14.25">
      <c r="A264" s="281" t="s">
        <v>29</v>
      </c>
      <c r="B264" s="254">
        <v>1500000</v>
      </c>
      <c r="C264" s="271"/>
      <c r="D264" s="247"/>
      <c r="E264" s="245"/>
      <c r="F264" s="247"/>
      <c r="G264" s="273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45"/>
      <c r="U264" s="245"/>
    </row>
    <row r="265" spans="1:21" s="90" customFormat="1" ht="14.25">
      <c r="A265" s="281" t="s">
        <v>32</v>
      </c>
      <c r="B265" s="254">
        <v>1500000</v>
      </c>
      <c r="C265" s="271"/>
      <c r="D265" s="247"/>
      <c r="E265" s="245"/>
      <c r="F265" s="247"/>
      <c r="G265" s="273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45"/>
      <c r="U265" s="245"/>
    </row>
    <row r="266" spans="1:21" s="90" customFormat="1" ht="14.25">
      <c r="A266" s="252"/>
      <c r="B266" s="254"/>
      <c r="C266" s="271"/>
      <c r="D266" s="25"/>
      <c r="E266" s="248"/>
      <c r="F266" s="25"/>
      <c r="G266" s="273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45"/>
      <c r="U266" s="245"/>
    </row>
    <row r="267" spans="1:21" s="264" customFormat="1" ht="15">
      <c r="A267" s="259" t="s">
        <v>472</v>
      </c>
      <c r="B267" s="265">
        <f>SUM(B253:B266)</f>
        <v>1374999500</v>
      </c>
      <c r="C267" s="274"/>
      <c r="D267" s="260"/>
      <c r="E267" s="261"/>
      <c r="F267" s="265">
        <f>SUM(F248:F266)</f>
        <v>2325000000</v>
      </c>
      <c r="G267" s="267"/>
      <c r="H267" s="263"/>
      <c r="I267" s="263"/>
      <c r="J267" s="263"/>
      <c r="K267" s="263"/>
      <c r="L267" s="263"/>
      <c r="M267" s="263"/>
      <c r="N267" s="263"/>
      <c r="O267" s="263"/>
      <c r="P267" s="263"/>
      <c r="Q267" s="263"/>
      <c r="R267" s="263"/>
      <c r="S267" s="263"/>
      <c r="T267" s="263"/>
      <c r="U267" s="263"/>
    </row>
    <row r="268" spans="1:21" s="90" customFormat="1" ht="12.75">
      <c r="A268" s="86"/>
      <c r="B268" s="248"/>
      <c r="C268" s="87"/>
      <c r="D268" s="25"/>
      <c r="E268" s="248"/>
      <c r="F268" s="25"/>
      <c r="G268" s="247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45"/>
      <c r="U268" s="245"/>
    </row>
    <row r="269" spans="1:21" s="90" customFormat="1" ht="25.5">
      <c r="A269" s="249" t="s">
        <v>458</v>
      </c>
      <c r="B269" s="245"/>
      <c r="C269" s="246"/>
      <c r="D269" s="247"/>
      <c r="E269" s="245"/>
      <c r="F269" s="247"/>
      <c r="G269" s="247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45"/>
      <c r="U269" s="245"/>
    </row>
    <row r="270" spans="1:21" s="90" customFormat="1" ht="13.5">
      <c r="A270" s="282" t="s">
        <v>459</v>
      </c>
      <c r="B270" s="257"/>
      <c r="C270" s="256"/>
      <c r="D270" s="247"/>
      <c r="E270" s="245"/>
      <c r="F270" s="247"/>
      <c r="G270" s="247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45"/>
      <c r="U270" s="245"/>
    </row>
    <row r="271" spans="1:21" s="90" customFormat="1" ht="13.5">
      <c r="A271" s="282" t="s">
        <v>460</v>
      </c>
      <c r="B271" s="257"/>
      <c r="C271" s="256"/>
      <c r="D271" s="247"/>
      <c r="E271" s="245"/>
      <c r="F271" s="247"/>
      <c r="G271" s="247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45"/>
      <c r="U271" s="245"/>
    </row>
    <row r="272" spans="1:21" s="90" customFormat="1" ht="13.5">
      <c r="A272" s="282" t="s">
        <v>461</v>
      </c>
      <c r="B272" s="257"/>
      <c r="C272" s="256"/>
      <c r="D272" s="247"/>
      <c r="E272" s="245"/>
      <c r="F272" s="247"/>
      <c r="G272" s="247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45"/>
      <c r="U272" s="245"/>
    </row>
    <row r="273" spans="1:21" s="90" customFormat="1" ht="13.5">
      <c r="A273" s="282" t="s">
        <v>8</v>
      </c>
      <c r="B273" s="258">
        <v>750000</v>
      </c>
      <c r="C273" s="256"/>
      <c r="D273" s="247"/>
      <c r="E273" s="245"/>
      <c r="F273" s="247"/>
      <c r="G273" s="247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45"/>
      <c r="U273" s="245"/>
    </row>
    <row r="274" spans="1:21" s="90" customFormat="1" ht="13.5">
      <c r="A274" s="282" t="s">
        <v>32</v>
      </c>
      <c r="B274" s="258">
        <v>750000</v>
      </c>
      <c r="C274" s="256"/>
      <c r="D274" s="247"/>
      <c r="E274" s="245"/>
      <c r="F274" s="247"/>
      <c r="G274" s="247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45"/>
      <c r="U274" s="245"/>
    </row>
    <row r="275" spans="1:21" s="90" customFormat="1" ht="13.5">
      <c r="A275" s="282" t="s">
        <v>462</v>
      </c>
      <c r="B275" s="257"/>
      <c r="C275" s="256"/>
      <c r="D275" s="247"/>
      <c r="E275" s="245"/>
      <c r="F275" s="247"/>
      <c r="G275" s="247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45"/>
      <c r="U275" s="245"/>
    </row>
    <row r="276" spans="1:21" s="90" customFormat="1" ht="13.5">
      <c r="A276" s="282" t="s">
        <v>463</v>
      </c>
      <c r="B276" s="257"/>
      <c r="C276" s="256"/>
      <c r="D276" s="247"/>
      <c r="E276" s="245"/>
      <c r="F276" s="247"/>
      <c r="G276" s="247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45"/>
      <c r="U276" s="245"/>
    </row>
    <row r="277" spans="1:21" s="90" customFormat="1" ht="13.5">
      <c r="A277" s="282" t="s">
        <v>29</v>
      </c>
      <c r="B277" s="258">
        <v>2400000</v>
      </c>
      <c r="C277" s="256"/>
      <c r="D277" s="247"/>
      <c r="E277" s="245"/>
      <c r="F277" s="247"/>
      <c r="G277" s="247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45"/>
      <c r="U277" s="245"/>
    </row>
    <row r="278" spans="1:21" s="90" customFormat="1" ht="13.5">
      <c r="A278" s="282" t="s">
        <v>32</v>
      </c>
      <c r="B278" s="258">
        <v>2400000</v>
      </c>
      <c r="C278" s="256"/>
      <c r="D278" s="247"/>
      <c r="E278" s="245"/>
      <c r="F278" s="247"/>
      <c r="G278" s="247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45"/>
      <c r="U278" s="245"/>
    </row>
    <row r="279" spans="1:21" s="90" customFormat="1" ht="13.5">
      <c r="A279" s="282" t="s">
        <v>464</v>
      </c>
      <c r="B279" s="258">
        <v>1500000</v>
      </c>
      <c r="C279" s="256"/>
      <c r="D279" s="247"/>
      <c r="E279" s="245"/>
      <c r="F279" s="247"/>
      <c r="G279" s="247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45"/>
      <c r="U279" s="245"/>
    </row>
    <row r="280" spans="1:21" s="90" customFormat="1" ht="13.5">
      <c r="A280" s="282" t="s">
        <v>465</v>
      </c>
      <c r="B280" s="258">
        <v>4800000</v>
      </c>
      <c r="C280" s="256"/>
      <c r="D280" s="247"/>
      <c r="E280" s="245"/>
      <c r="F280" s="247"/>
      <c r="G280" s="247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45"/>
      <c r="U280" s="245"/>
    </row>
    <row r="281" spans="1:21" s="90" customFormat="1" ht="13.5">
      <c r="A281" s="282" t="s">
        <v>466</v>
      </c>
      <c r="B281" s="258">
        <v>4800000</v>
      </c>
      <c r="C281" s="256"/>
      <c r="D281" s="247"/>
      <c r="E281" s="245"/>
      <c r="F281" s="247"/>
      <c r="G281" s="247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45"/>
      <c r="U281" s="245"/>
    </row>
    <row r="282" spans="1:21" s="90" customFormat="1" ht="13.5">
      <c r="A282" s="282"/>
      <c r="B282" s="258">
        <v>17400000</v>
      </c>
      <c r="C282" s="256"/>
      <c r="D282" s="247"/>
      <c r="E282" s="245"/>
      <c r="F282" s="247"/>
      <c r="G282" s="247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45"/>
      <c r="U282" s="245"/>
    </row>
    <row r="283" spans="1:21" s="90" customFormat="1" ht="13.5">
      <c r="A283" s="282" t="s">
        <v>467</v>
      </c>
      <c r="B283" s="257"/>
      <c r="C283" s="256"/>
      <c r="D283" s="247"/>
      <c r="E283" s="245"/>
      <c r="F283" s="247"/>
      <c r="G283" s="247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45"/>
      <c r="U283" s="245"/>
    </row>
    <row r="284" spans="1:21" s="90" customFormat="1" ht="13.5">
      <c r="A284" s="283" t="s">
        <v>52</v>
      </c>
      <c r="B284" s="257"/>
      <c r="C284" s="256"/>
      <c r="D284" s="247"/>
      <c r="E284" s="245"/>
      <c r="F284" s="247"/>
      <c r="G284" s="247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45"/>
      <c r="U284" s="245"/>
    </row>
    <row r="285" spans="1:21" s="90" customFormat="1" ht="13.5">
      <c r="A285" s="282" t="s">
        <v>468</v>
      </c>
      <c r="B285" s="257"/>
      <c r="C285" s="256"/>
      <c r="D285" s="247"/>
      <c r="E285" s="245"/>
      <c r="F285" s="247"/>
      <c r="G285" s="247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45"/>
      <c r="U285" s="245"/>
    </row>
    <row r="286" spans="1:21" s="90" customFormat="1" ht="13.5">
      <c r="A286" s="283" t="s">
        <v>54</v>
      </c>
      <c r="B286" s="257"/>
      <c r="C286" s="256"/>
      <c r="D286" s="247"/>
      <c r="E286" s="245"/>
      <c r="F286" s="247"/>
      <c r="G286" s="247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45"/>
      <c r="U286" s="245"/>
    </row>
    <row r="287" spans="1:21" s="90" customFormat="1" ht="13.5">
      <c r="A287" s="282" t="s">
        <v>469</v>
      </c>
      <c r="B287" s="257"/>
      <c r="C287" s="256"/>
      <c r="D287" s="247"/>
      <c r="E287" s="245"/>
      <c r="F287" s="247"/>
      <c r="G287" s="247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45"/>
      <c r="U287" s="245"/>
    </row>
    <row r="288" spans="1:21" s="90" customFormat="1" ht="13.5">
      <c r="A288" s="282" t="s">
        <v>470</v>
      </c>
      <c r="B288" s="257"/>
      <c r="C288" s="256"/>
      <c r="D288" s="247"/>
      <c r="E288" s="245"/>
      <c r="F288" s="247"/>
      <c r="G288" s="247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45"/>
      <c r="U288" s="245"/>
    </row>
    <row r="289" spans="1:21" s="90" customFormat="1" ht="13.5">
      <c r="A289" s="282" t="s">
        <v>8</v>
      </c>
      <c r="B289" s="257"/>
      <c r="C289" s="256"/>
      <c r="D289" s="247"/>
      <c r="E289" s="245"/>
      <c r="F289" s="247"/>
      <c r="G289" s="247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45"/>
      <c r="U289" s="245"/>
    </row>
    <row r="290" spans="1:21" s="90" customFormat="1" ht="13.5">
      <c r="A290" s="282" t="s">
        <v>29</v>
      </c>
      <c r="B290" s="258">
        <v>1500000</v>
      </c>
      <c r="C290" s="256"/>
      <c r="D290" s="247"/>
      <c r="E290" s="245"/>
      <c r="F290" s="247"/>
      <c r="G290" s="247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45"/>
      <c r="U290" s="245"/>
    </row>
    <row r="291" spans="1:21" s="90" customFormat="1" ht="13.5">
      <c r="A291" s="282" t="s">
        <v>32</v>
      </c>
      <c r="B291" s="258">
        <v>2000000</v>
      </c>
      <c r="C291" s="256"/>
      <c r="D291" s="247"/>
      <c r="E291" s="245"/>
      <c r="F291" s="247"/>
      <c r="G291" s="247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45"/>
      <c r="U291" s="245"/>
    </row>
    <row r="292" spans="1:21" s="90" customFormat="1" ht="13.5">
      <c r="A292" s="282" t="s">
        <v>28</v>
      </c>
      <c r="B292" s="258">
        <v>1500000</v>
      </c>
      <c r="C292" s="256"/>
      <c r="D292" s="247"/>
      <c r="E292" s="245"/>
      <c r="F292" s="247"/>
      <c r="G292" s="247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45"/>
      <c r="U292" s="245"/>
    </row>
    <row r="293" spans="1:21" s="90" customFormat="1" ht="13.5">
      <c r="A293" s="282" t="s">
        <v>465</v>
      </c>
      <c r="B293" s="258">
        <v>4800000</v>
      </c>
      <c r="C293" s="256"/>
      <c r="D293" s="247"/>
      <c r="E293" s="245"/>
      <c r="F293" s="247"/>
      <c r="G293" s="247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45"/>
      <c r="U293" s="245"/>
    </row>
    <row r="294" spans="1:21" s="90" customFormat="1" ht="13.5">
      <c r="A294" s="282" t="s">
        <v>466</v>
      </c>
      <c r="B294" s="258">
        <v>4800000</v>
      </c>
      <c r="C294" s="256"/>
      <c r="D294" s="247"/>
      <c r="E294" s="245"/>
      <c r="F294" s="247"/>
      <c r="G294" s="247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45"/>
      <c r="U294" s="245"/>
    </row>
    <row r="295" spans="1:21" s="90" customFormat="1" ht="13.5">
      <c r="A295" s="282"/>
      <c r="B295" s="258">
        <v>14600000</v>
      </c>
      <c r="C295" s="256"/>
      <c r="D295" s="247"/>
      <c r="E295" s="245"/>
      <c r="F295" s="247"/>
      <c r="G295" s="247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45"/>
      <c r="U295" s="245"/>
    </row>
    <row r="296" spans="1:21" s="90" customFormat="1" ht="13.5">
      <c r="A296" s="282"/>
      <c r="B296" s="257"/>
      <c r="C296" s="256"/>
      <c r="D296" s="247"/>
      <c r="E296" s="245"/>
      <c r="F296" s="247"/>
      <c r="G296" s="247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45"/>
      <c r="U296" s="245"/>
    </row>
    <row r="297" spans="1:21" s="90" customFormat="1" ht="13.5">
      <c r="A297" s="282" t="s">
        <v>471</v>
      </c>
      <c r="B297" s="257"/>
      <c r="C297" s="256"/>
      <c r="D297" s="247"/>
      <c r="E297" s="245"/>
      <c r="F297" s="247"/>
      <c r="G297" s="247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45"/>
      <c r="U297" s="245"/>
    </row>
    <row r="298" spans="1:21" s="90" customFormat="1" ht="13.5">
      <c r="A298" s="282" t="s">
        <v>81</v>
      </c>
      <c r="B298" s="257"/>
      <c r="C298" s="256"/>
      <c r="D298" s="247"/>
      <c r="E298" s="245"/>
      <c r="F298" s="247"/>
      <c r="G298" s="247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45"/>
      <c r="U298" s="245"/>
    </row>
    <row r="299" spans="1:21" s="90" customFormat="1" ht="13.5">
      <c r="A299" s="282" t="s">
        <v>86</v>
      </c>
      <c r="B299" s="257"/>
      <c r="C299" s="256"/>
      <c r="D299" s="247"/>
      <c r="E299" s="245"/>
      <c r="F299" s="247"/>
      <c r="G299" s="247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45"/>
      <c r="U299" s="245"/>
    </row>
    <row r="300" spans="1:21" s="90" customFormat="1" ht="13.5">
      <c r="A300" s="282" t="s">
        <v>87</v>
      </c>
      <c r="B300" s="257"/>
      <c r="C300" s="256"/>
      <c r="D300" s="247"/>
      <c r="E300" s="245"/>
      <c r="F300" s="247"/>
      <c r="G300" s="247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45"/>
      <c r="U300" s="245"/>
    </row>
    <row r="301" spans="1:21" s="90" customFormat="1" ht="13.5">
      <c r="A301" s="282" t="s">
        <v>29</v>
      </c>
      <c r="B301" s="258">
        <v>5000000</v>
      </c>
      <c r="C301" s="256"/>
      <c r="D301" s="247"/>
      <c r="E301" s="245"/>
      <c r="F301" s="247"/>
      <c r="G301" s="247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45"/>
      <c r="U301" s="245"/>
    </row>
    <row r="302" spans="1:21" s="90" customFormat="1" ht="13.5">
      <c r="A302" s="282" t="s">
        <v>32</v>
      </c>
      <c r="B302" s="258">
        <v>2000000</v>
      </c>
      <c r="C302" s="256"/>
      <c r="D302" s="247"/>
      <c r="E302" s="245"/>
      <c r="F302" s="247"/>
      <c r="G302" s="247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45"/>
      <c r="U302" s="245"/>
    </row>
    <row r="303" spans="1:21" s="90" customFormat="1" ht="13.5">
      <c r="A303" s="282" t="s">
        <v>28</v>
      </c>
      <c r="B303" s="258">
        <v>7500000</v>
      </c>
      <c r="C303" s="256"/>
      <c r="D303" s="247"/>
      <c r="E303" s="245"/>
      <c r="F303" s="247"/>
      <c r="G303" s="247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45"/>
      <c r="U303" s="245"/>
    </row>
    <row r="304" spans="1:21" s="90" customFormat="1" ht="13.5">
      <c r="A304" s="282" t="s">
        <v>465</v>
      </c>
      <c r="B304" s="258">
        <v>4800000</v>
      </c>
      <c r="C304" s="256"/>
      <c r="D304" s="247"/>
      <c r="E304" s="245"/>
      <c r="F304" s="247"/>
      <c r="G304" s="247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45"/>
      <c r="U304" s="245"/>
    </row>
    <row r="305" spans="1:21" s="90" customFormat="1" ht="13.5">
      <c r="A305" s="282" t="s">
        <v>466</v>
      </c>
      <c r="B305" s="258">
        <v>4800000</v>
      </c>
      <c r="C305" s="256"/>
      <c r="D305" s="247"/>
      <c r="E305" s="245"/>
      <c r="F305" s="247"/>
      <c r="G305" s="247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45"/>
      <c r="U305" s="245"/>
    </row>
    <row r="306" spans="1:21" s="90" customFormat="1" ht="13.5">
      <c r="A306" s="284"/>
      <c r="B306" s="258">
        <v>24100000</v>
      </c>
      <c r="C306" s="256"/>
      <c r="D306" s="247"/>
      <c r="E306" s="245"/>
      <c r="F306" s="247"/>
      <c r="G306" s="247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45"/>
      <c r="U306" s="245"/>
    </row>
    <row r="307" spans="1:21" s="90" customFormat="1" ht="12.75">
      <c r="A307" s="250"/>
      <c r="B307" s="251"/>
      <c r="C307" s="246"/>
      <c r="D307" s="247"/>
      <c r="E307" s="245"/>
      <c r="F307" s="247"/>
      <c r="G307" s="247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45"/>
      <c r="U307" s="245"/>
    </row>
    <row r="308" spans="1:21" s="264" customFormat="1" ht="12.75">
      <c r="A308" s="266" t="s">
        <v>473</v>
      </c>
      <c r="B308" s="263">
        <f>SUM(B270:B307)</f>
        <v>112200000</v>
      </c>
      <c r="C308" s="267"/>
      <c r="D308" s="262"/>
      <c r="E308" s="263"/>
      <c r="F308" s="262"/>
      <c r="G308" s="262"/>
      <c r="H308" s="263"/>
      <c r="I308" s="263"/>
      <c r="J308" s="263"/>
      <c r="K308" s="263"/>
      <c r="L308" s="263"/>
      <c r="M308" s="263"/>
      <c r="N308" s="263"/>
      <c r="O308" s="263"/>
      <c r="P308" s="263"/>
      <c r="Q308" s="263"/>
      <c r="R308" s="263"/>
      <c r="S308" s="263"/>
      <c r="T308" s="263"/>
      <c r="U308" s="263"/>
    </row>
    <row r="309" spans="1:21" s="270" customFormat="1" ht="12.75">
      <c r="A309" s="91" t="s">
        <v>259</v>
      </c>
      <c r="B309" s="117">
        <f>B246+B308+B267</f>
        <v>3230739500</v>
      </c>
      <c r="C309" s="272">
        <f>SUM(D309:U309)</f>
        <v>4816540000</v>
      </c>
      <c r="D309" s="269"/>
      <c r="E309" s="268">
        <f>E246+E308+E267</f>
        <v>280000000</v>
      </c>
      <c r="F309" s="268">
        <f>F246+F308+F267</f>
        <v>2325000000</v>
      </c>
      <c r="G309" s="217">
        <f>G246+G308+G267</f>
        <v>0</v>
      </c>
      <c r="H309" s="217">
        <f>H246+H308+H267</f>
        <v>28000000</v>
      </c>
      <c r="I309" s="217">
        <f>I246+I308+I267</f>
        <v>1583540000</v>
      </c>
      <c r="J309" s="217">
        <f aca="true" t="shared" si="11" ref="J309:U309">J246+J308+J267</f>
        <v>0</v>
      </c>
      <c r="K309" s="217">
        <f t="shared" si="11"/>
        <v>554000000</v>
      </c>
      <c r="L309" s="217">
        <f t="shared" si="11"/>
        <v>0</v>
      </c>
      <c r="M309" s="217">
        <f t="shared" si="11"/>
        <v>0</v>
      </c>
      <c r="N309" s="217">
        <f t="shared" si="11"/>
        <v>28000000</v>
      </c>
      <c r="O309" s="217">
        <f t="shared" si="11"/>
        <v>0</v>
      </c>
      <c r="P309" s="217">
        <f t="shared" si="11"/>
        <v>0</v>
      </c>
      <c r="Q309" s="217">
        <f t="shared" si="11"/>
        <v>0</v>
      </c>
      <c r="R309" s="217">
        <f t="shared" si="11"/>
        <v>0</v>
      </c>
      <c r="S309" s="217">
        <f t="shared" si="11"/>
        <v>0</v>
      </c>
      <c r="T309" s="217">
        <f t="shared" si="11"/>
        <v>18000000</v>
      </c>
      <c r="U309" s="217">
        <f t="shared" si="11"/>
        <v>0</v>
      </c>
    </row>
    <row r="310" spans="1:21" ht="12.75">
      <c r="A310" s="80"/>
      <c r="B310" s="118"/>
      <c r="C310" s="118"/>
      <c r="K310" s="25"/>
      <c r="L310" s="53"/>
      <c r="M310" s="25"/>
      <c r="N310" s="25"/>
      <c r="O310" s="25"/>
      <c r="P310" s="25"/>
      <c r="Q310" s="25"/>
      <c r="R310" s="53"/>
      <c r="S310" s="25"/>
      <c r="T310" s="25"/>
      <c r="U310" s="25"/>
    </row>
    <row r="311" spans="1:21" ht="12.75">
      <c r="A311" s="86" t="s">
        <v>252</v>
      </c>
      <c r="B311" s="113"/>
      <c r="C311" s="113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</row>
    <row r="312" spans="1:21" ht="12.75">
      <c r="A312" s="1" t="s">
        <v>253</v>
      </c>
      <c r="B312" s="113"/>
      <c r="C312" s="113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</row>
    <row r="313" spans="1:21" ht="12.75">
      <c r="A313" s="203" t="s">
        <v>418</v>
      </c>
      <c r="B313" s="204">
        <v>100000000</v>
      </c>
      <c r="C313" s="113"/>
      <c r="F313" s="204">
        <v>100000000</v>
      </c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</row>
    <row r="314" spans="1:21" ht="12.75">
      <c r="A314" s="208" t="s">
        <v>419</v>
      </c>
      <c r="B314" s="207">
        <v>10000000</v>
      </c>
      <c r="C314" s="113"/>
      <c r="F314" s="207">
        <v>10000000</v>
      </c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</row>
    <row r="315" spans="1:21" ht="12.75">
      <c r="A315" s="208" t="s">
        <v>420</v>
      </c>
      <c r="B315" s="207"/>
      <c r="C315" s="113"/>
      <c r="D315" s="65"/>
      <c r="E315" s="113">
        <v>500000</v>
      </c>
      <c r="F315" s="65"/>
      <c r="G315" s="65"/>
      <c r="H315" s="113"/>
      <c r="I315" s="113">
        <v>500000</v>
      </c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</row>
    <row r="316" spans="1:21" ht="12.75">
      <c r="A316" s="3" t="s">
        <v>33</v>
      </c>
      <c r="B316" s="113">
        <v>10000000</v>
      </c>
      <c r="C316" s="113"/>
      <c r="D316" s="65"/>
      <c r="E316" s="113">
        <v>10000000</v>
      </c>
      <c r="F316" s="65"/>
      <c r="G316" s="65"/>
      <c r="H316" s="113"/>
      <c r="I316" s="113">
        <v>10000000</v>
      </c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</row>
    <row r="317" spans="1:21" ht="12.75">
      <c r="A317" s="3" t="s">
        <v>441</v>
      </c>
      <c r="B317" s="113">
        <v>2000000</v>
      </c>
      <c r="C317" s="113"/>
      <c r="D317" s="65"/>
      <c r="E317" s="113">
        <v>2100000</v>
      </c>
      <c r="F317" s="65"/>
      <c r="G317" s="65">
        <v>22875000</v>
      </c>
      <c r="H317" s="113">
        <v>12000000</v>
      </c>
      <c r="I317" s="113">
        <v>2000000</v>
      </c>
      <c r="J317" s="65"/>
      <c r="K317" s="65"/>
      <c r="L317" s="65"/>
      <c r="M317" s="65"/>
      <c r="N317" s="65">
        <f>6990000+12000000</f>
        <v>18990000</v>
      </c>
      <c r="O317" s="65"/>
      <c r="P317" s="65"/>
      <c r="Q317" s="65"/>
      <c r="R317" s="65"/>
      <c r="S317" s="65"/>
      <c r="T317" s="65"/>
      <c r="U317" s="65"/>
    </row>
    <row r="318" spans="1:21" ht="12.75">
      <c r="A318" s="16" t="s">
        <v>35</v>
      </c>
      <c r="B318" s="113">
        <v>2400000</v>
      </c>
      <c r="C318" s="113"/>
      <c r="D318" s="65"/>
      <c r="E318" s="113">
        <v>2400000</v>
      </c>
      <c r="F318" s="65"/>
      <c r="G318" s="65"/>
      <c r="H318" s="65"/>
      <c r="I318" s="113">
        <v>2400000</v>
      </c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</row>
    <row r="319" spans="1:21" ht="12.75">
      <c r="A319" s="3" t="s">
        <v>31</v>
      </c>
      <c r="B319" s="113">
        <v>1000000</v>
      </c>
      <c r="C319" s="113"/>
      <c r="D319" s="65"/>
      <c r="E319" s="113">
        <v>1000000</v>
      </c>
      <c r="F319" s="65"/>
      <c r="G319" s="65"/>
      <c r="H319" s="65"/>
      <c r="I319" s="113">
        <v>1000000</v>
      </c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</row>
    <row r="320" spans="1:21" ht="12.75">
      <c r="A320" s="7" t="s">
        <v>8</v>
      </c>
      <c r="B320" s="113">
        <v>4500000</v>
      </c>
      <c r="C320" s="113"/>
      <c r="D320" s="65"/>
      <c r="E320" s="113">
        <v>4500000</v>
      </c>
      <c r="F320" s="65"/>
      <c r="G320" s="65"/>
      <c r="H320" s="65"/>
      <c r="I320" s="113">
        <v>4500000</v>
      </c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</row>
    <row r="321" spans="1:21" ht="12.75">
      <c r="A321" s="7" t="s">
        <v>29</v>
      </c>
      <c r="B321" s="113">
        <v>18000000</v>
      </c>
      <c r="C321" s="113"/>
      <c r="D321" s="65"/>
      <c r="E321" s="113"/>
      <c r="F321" s="65"/>
      <c r="G321" s="65"/>
      <c r="H321" s="65"/>
      <c r="I321" s="113">
        <v>18000000</v>
      </c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</row>
    <row r="322" spans="1:21" ht="12.75">
      <c r="A322" s="7" t="s">
        <v>32</v>
      </c>
      <c r="B322" s="113">
        <v>3000000</v>
      </c>
      <c r="C322" s="113"/>
      <c r="D322" s="65"/>
      <c r="E322" s="113">
        <v>3000000</v>
      </c>
      <c r="F322" s="105"/>
      <c r="G322" s="105">
        <v>10000000</v>
      </c>
      <c r="H322" s="105"/>
      <c r="I322" s="113">
        <v>3000000</v>
      </c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</row>
    <row r="323" spans="1:21" ht="12.75">
      <c r="A323" s="7" t="s">
        <v>28</v>
      </c>
      <c r="B323" s="113">
        <v>1500000</v>
      </c>
      <c r="C323" s="113"/>
      <c r="D323" s="65"/>
      <c r="E323" s="113">
        <v>1500000</v>
      </c>
      <c r="F323" s="65"/>
      <c r="G323" s="65"/>
      <c r="H323" s="65"/>
      <c r="I323" s="113">
        <v>1500000</v>
      </c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</row>
    <row r="324" spans="1:21" s="90" customFormat="1" ht="12.75">
      <c r="A324" s="32" t="s">
        <v>49</v>
      </c>
      <c r="B324" s="110">
        <f>SUM(B315:B323)</f>
        <v>42400000</v>
      </c>
      <c r="C324" s="110">
        <f>SUM(D324:U324)</f>
        <v>241765000</v>
      </c>
      <c r="D324" s="110">
        <f aca="true" t="shared" si="12" ref="D324:U324">SUM(D315:D323)</f>
        <v>0</v>
      </c>
      <c r="E324" s="110">
        <f t="shared" si="12"/>
        <v>25000000</v>
      </c>
      <c r="F324" s="110">
        <f>SUM(F312:F323)</f>
        <v>110000000</v>
      </c>
      <c r="G324" s="110">
        <f t="shared" si="12"/>
        <v>32875000</v>
      </c>
      <c r="H324" s="110">
        <f t="shared" si="12"/>
        <v>12000000</v>
      </c>
      <c r="I324" s="110">
        <f t="shared" si="12"/>
        <v>42900000</v>
      </c>
      <c r="J324" s="110">
        <f t="shared" si="12"/>
        <v>0</v>
      </c>
      <c r="K324" s="110">
        <f t="shared" si="12"/>
        <v>0</v>
      </c>
      <c r="L324" s="110">
        <f t="shared" si="12"/>
        <v>0</v>
      </c>
      <c r="M324" s="110">
        <f t="shared" si="12"/>
        <v>0</v>
      </c>
      <c r="N324" s="110">
        <f t="shared" si="12"/>
        <v>18990000</v>
      </c>
      <c r="O324" s="110">
        <f t="shared" si="12"/>
        <v>0</v>
      </c>
      <c r="P324" s="110">
        <f t="shared" si="12"/>
        <v>0</v>
      </c>
      <c r="Q324" s="110">
        <f t="shared" si="12"/>
        <v>0</v>
      </c>
      <c r="R324" s="110">
        <f t="shared" si="12"/>
        <v>0</v>
      </c>
      <c r="S324" s="110">
        <f t="shared" si="12"/>
        <v>0</v>
      </c>
      <c r="T324" s="110">
        <f t="shared" si="12"/>
        <v>0</v>
      </c>
      <c r="U324" s="110">
        <f t="shared" si="12"/>
        <v>0</v>
      </c>
    </row>
    <row r="325" spans="1:3" ht="12.75">
      <c r="A325" s="1"/>
      <c r="B325" s="113"/>
      <c r="C325" s="113"/>
    </row>
    <row r="326" spans="1:3" ht="12.75">
      <c r="A326" s="1" t="s">
        <v>254</v>
      </c>
      <c r="B326" s="113"/>
      <c r="C326" s="113"/>
    </row>
    <row r="327" spans="1:21" ht="12.75">
      <c r="A327" s="13" t="s">
        <v>52</v>
      </c>
      <c r="B327" s="113">
        <v>3000000</v>
      </c>
      <c r="C327" s="113"/>
      <c r="D327" s="65"/>
      <c r="E327" s="65"/>
      <c r="F327" s="65"/>
      <c r="G327" s="65"/>
      <c r="H327" s="65"/>
      <c r="I327" s="113">
        <v>3000000</v>
      </c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</row>
    <row r="328" spans="1:21" ht="12.75">
      <c r="A328" s="3" t="s">
        <v>53</v>
      </c>
      <c r="B328" s="113">
        <v>150000000</v>
      </c>
      <c r="C328" s="113"/>
      <c r="D328" s="65"/>
      <c r="E328" s="65"/>
      <c r="F328" s="65"/>
      <c r="G328" s="65">
        <v>60000000</v>
      </c>
      <c r="H328" s="65"/>
      <c r="I328" s="113">
        <v>150000000</v>
      </c>
      <c r="J328" s="65"/>
      <c r="K328" s="65"/>
      <c r="L328" s="65"/>
      <c r="M328" s="65"/>
      <c r="N328" s="65"/>
      <c r="O328" s="65"/>
      <c r="P328" s="65"/>
      <c r="Q328" s="65"/>
      <c r="R328" s="65"/>
      <c r="S328" s="65">
        <v>32125000</v>
      </c>
      <c r="T328" s="65">
        <v>52000000</v>
      </c>
      <c r="U328" s="65"/>
    </row>
    <row r="329" spans="1:21" ht="12.75">
      <c r="A329" s="3" t="s">
        <v>54</v>
      </c>
      <c r="B329" s="113"/>
      <c r="C329" s="113"/>
      <c r="D329" s="65"/>
      <c r="E329" s="65"/>
      <c r="F329" s="65"/>
      <c r="G329" s="65"/>
      <c r="H329" s="65"/>
      <c r="I329" s="113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</row>
    <row r="330" spans="1:21" ht="12.75">
      <c r="A330" s="7" t="s">
        <v>55</v>
      </c>
      <c r="B330" s="113">
        <v>7500000</v>
      </c>
      <c r="C330" s="113"/>
      <c r="D330" s="65"/>
      <c r="E330" s="65"/>
      <c r="F330" s="65"/>
      <c r="G330" s="65"/>
      <c r="H330" s="65"/>
      <c r="I330" s="113">
        <v>7500000</v>
      </c>
      <c r="J330" s="65"/>
      <c r="K330" s="65"/>
      <c r="L330" s="65"/>
      <c r="M330" s="65"/>
      <c r="N330" s="113">
        <v>7500000</v>
      </c>
      <c r="O330" s="65"/>
      <c r="P330" s="65"/>
      <c r="Q330" s="65"/>
      <c r="R330" s="65"/>
      <c r="S330" s="65"/>
      <c r="T330" s="65"/>
      <c r="U330" s="65"/>
    </row>
    <row r="331" spans="1:21" ht="12.75">
      <c r="A331" s="7" t="s">
        <v>56</v>
      </c>
      <c r="B331" s="113">
        <v>1500000</v>
      </c>
      <c r="C331" s="113"/>
      <c r="D331" s="65"/>
      <c r="E331" s="65"/>
      <c r="F331" s="65"/>
      <c r="G331" s="65"/>
      <c r="H331" s="65"/>
      <c r="I331" s="113">
        <v>1500000</v>
      </c>
      <c r="J331" s="65"/>
      <c r="K331" s="65"/>
      <c r="L331" s="65"/>
      <c r="M331" s="65"/>
      <c r="N331" s="113">
        <v>1500000</v>
      </c>
      <c r="O331" s="65"/>
      <c r="P331" s="65"/>
      <c r="Q331" s="65"/>
      <c r="R331" s="65"/>
      <c r="S331" s="65"/>
      <c r="T331" s="65"/>
      <c r="U331" s="65"/>
    </row>
    <row r="332" spans="1:21" ht="12.75">
      <c r="A332" s="7" t="s">
        <v>8</v>
      </c>
      <c r="B332" s="113">
        <v>1490000</v>
      </c>
      <c r="C332" s="113"/>
      <c r="D332" s="65"/>
      <c r="E332" s="65"/>
      <c r="F332" s="65"/>
      <c r="G332" s="65"/>
      <c r="H332" s="65"/>
      <c r="I332" s="113">
        <v>1490000</v>
      </c>
      <c r="J332" s="65"/>
      <c r="K332" s="65"/>
      <c r="L332" s="65"/>
      <c r="M332" s="65"/>
      <c r="N332" s="113">
        <v>1490000</v>
      </c>
      <c r="O332" s="65"/>
      <c r="P332" s="65"/>
      <c r="Q332" s="65"/>
      <c r="R332" s="65"/>
      <c r="S332" s="65"/>
      <c r="T332" s="65"/>
      <c r="U332" s="65"/>
    </row>
    <row r="333" spans="1:21" ht="12.75">
      <c r="A333" s="7" t="s">
        <v>32</v>
      </c>
      <c r="B333" s="113">
        <v>1000000</v>
      </c>
      <c r="C333" s="113"/>
      <c r="D333" s="65"/>
      <c r="E333" s="65"/>
      <c r="F333" s="65"/>
      <c r="G333" s="65"/>
      <c r="H333" s="65"/>
      <c r="I333" s="113">
        <v>1000000</v>
      </c>
      <c r="J333" s="65"/>
      <c r="K333" s="65"/>
      <c r="L333" s="65"/>
      <c r="M333" s="65"/>
      <c r="N333" s="65">
        <f>1510000</f>
        <v>1510000</v>
      </c>
      <c r="O333" s="65"/>
      <c r="P333" s="65"/>
      <c r="Q333" s="65"/>
      <c r="R333" s="65"/>
      <c r="S333" s="65"/>
      <c r="T333" s="65"/>
      <c r="U333" s="65"/>
    </row>
    <row r="334" spans="1:21" ht="12.75">
      <c r="A334" s="7" t="s">
        <v>28</v>
      </c>
      <c r="B334" s="113">
        <v>1500000</v>
      </c>
      <c r="C334" s="113"/>
      <c r="D334" s="65"/>
      <c r="E334" s="65"/>
      <c r="F334" s="65"/>
      <c r="G334" s="65"/>
      <c r="H334" s="65"/>
      <c r="I334" s="113">
        <v>1500000</v>
      </c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</row>
    <row r="335" spans="1:21" s="90" customFormat="1" ht="12.75">
      <c r="A335" s="32" t="s">
        <v>50</v>
      </c>
      <c r="B335" s="110">
        <f>SUM(B327:B334)</f>
        <v>165990000</v>
      </c>
      <c r="C335" s="110">
        <f>SUM(D335:U335)</f>
        <v>322115000</v>
      </c>
      <c r="D335" s="110">
        <f aca="true" t="shared" si="13" ref="D335:U335">SUM(D327:D334)</f>
        <v>0</v>
      </c>
      <c r="E335" s="110">
        <f t="shared" si="13"/>
        <v>0</v>
      </c>
      <c r="F335" s="110">
        <f t="shared" si="13"/>
        <v>0</v>
      </c>
      <c r="G335" s="110">
        <f t="shared" si="13"/>
        <v>60000000</v>
      </c>
      <c r="H335" s="110">
        <f t="shared" si="13"/>
        <v>0</v>
      </c>
      <c r="I335" s="110">
        <f t="shared" si="13"/>
        <v>165990000</v>
      </c>
      <c r="J335" s="110">
        <f t="shared" si="13"/>
        <v>0</v>
      </c>
      <c r="K335" s="110">
        <f t="shared" si="13"/>
        <v>0</v>
      </c>
      <c r="L335" s="110">
        <f t="shared" si="13"/>
        <v>0</v>
      </c>
      <c r="M335" s="110">
        <f t="shared" si="13"/>
        <v>0</v>
      </c>
      <c r="N335" s="110">
        <f t="shared" si="13"/>
        <v>12000000</v>
      </c>
      <c r="O335" s="110">
        <f t="shared" si="13"/>
        <v>0</v>
      </c>
      <c r="P335" s="110">
        <f t="shared" si="13"/>
        <v>0</v>
      </c>
      <c r="Q335" s="110">
        <f t="shared" si="13"/>
        <v>0</v>
      </c>
      <c r="R335" s="110">
        <f t="shared" si="13"/>
        <v>0</v>
      </c>
      <c r="S335" s="110">
        <f t="shared" si="13"/>
        <v>32125000</v>
      </c>
      <c r="T335" s="110">
        <f t="shared" si="13"/>
        <v>52000000</v>
      </c>
      <c r="U335" s="110">
        <f t="shared" si="13"/>
        <v>0</v>
      </c>
    </row>
    <row r="336" spans="1:3" ht="12.75">
      <c r="A336" s="1"/>
      <c r="B336" s="113"/>
      <c r="C336" s="113"/>
    </row>
    <row r="337" spans="1:3" ht="12.75">
      <c r="A337" s="1" t="s">
        <v>255</v>
      </c>
      <c r="B337" s="113"/>
      <c r="C337" s="113"/>
    </row>
    <row r="338" spans="1:5" ht="12.75">
      <c r="A338" s="3" t="s">
        <v>57</v>
      </c>
      <c r="B338" s="113"/>
      <c r="C338" s="113"/>
      <c r="E338" s="113"/>
    </row>
    <row r="339" spans="1:14" ht="12.75">
      <c r="A339" s="7" t="s">
        <v>61</v>
      </c>
      <c r="B339" s="113">
        <v>2700000</v>
      </c>
      <c r="C339" s="127">
        <f aca="true" t="shared" si="14" ref="C339:C345">SUM(D339:U339)</f>
        <v>10800000</v>
      </c>
      <c r="E339" s="113">
        <v>2700000</v>
      </c>
      <c r="I339" s="113">
        <v>2700000</v>
      </c>
      <c r="K339" s="113">
        <v>2700000</v>
      </c>
      <c r="N339" s="113">
        <v>2700000</v>
      </c>
    </row>
    <row r="340" spans="1:14" ht="12.75">
      <c r="A340" s="7" t="s">
        <v>58</v>
      </c>
      <c r="B340" s="113">
        <v>6000000</v>
      </c>
      <c r="C340" s="127">
        <f t="shared" si="14"/>
        <v>24000000</v>
      </c>
      <c r="E340" s="113">
        <v>6000000</v>
      </c>
      <c r="I340" s="113">
        <v>6000000</v>
      </c>
      <c r="K340" s="113">
        <v>6000000</v>
      </c>
      <c r="N340" s="113">
        <v>6000000</v>
      </c>
    </row>
    <row r="341" spans="1:14" ht="12.75">
      <c r="A341" s="7" t="s">
        <v>8</v>
      </c>
      <c r="B341" s="113">
        <v>4500000</v>
      </c>
      <c r="C341" s="127">
        <f t="shared" si="14"/>
        <v>18000000</v>
      </c>
      <c r="E341" s="113">
        <v>4500000</v>
      </c>
      <c r="I341" s="113">
        <v>4500000</v>
      </c>
      <c r="K341" s="113">
        <v>4500000</v>
      </c>
      <c r="N341" s="113">
        <v>4500000</v>
      </c>
    </row>
    <row r="342" spans="1:14" ht="12.75">
      <c r="A342" s="7" t="s">
        <v>32</v>
      </c>
      <c r="B342" s="113">
        <v>4500000</v>
      </c>
      <c r="C342" s="127">
        <f t="shared" si="14"/>
        <v>18000000</v>
      </c>
      <c r="E342" s="113">
        <v>4500000</v>
      </c>
      <c r="I342" s="113">
        <v>4500000</v>
      </c>
      <c r="K342" s="113">
        <v>4500000</v>
      </c>
      <c r="N342" s="113">
        <v>4500000</v>
      </c>
    </row>
    <row r="343" spans="1:14" ht="12.75">
      <c r="A343" s="7" t="s">
        <v>59</v>
      </c>
      <c r="B343" s="113"/>
      <c r="C343" s="127">
        <f t="shared" si="14"/>
        <v>0</v>
      </c>
      <c r="E343" s="113"/>
      <c r="I343" s="113"/>
      <c r="K343" s="113"/>
      <c r="N343" s="113"/>
    </row>
    <row r="344" spans="1:14" ht="12.75">
      <c r="A344" s="7" t="s">
        <v>61</v>
      </c>
      <c r="B344" s="113">
        <v>3510000</v>
      </c>
      <c r="C344" s="127">
        <f t="shared" si="14"/>
        <v>14040000</v>
      </c>
      <c r="E344" s="113">
        <v>3510000</v>
      </c>
      <c r="I344" s="113">
        <v>3510000</v>
      </c>
      <c r="K344" s="113">
        <v>3510000</v>
      </c>
      <c r="L344" s="21"/>
      <c r="M344" s="21"/>
      <c r="N344" s="113">
        <v>3510000</v>
      </c>
    </row>
    <row r="345" spans="1:14" ht="12.75">
      <c r="A345" s="7" t="s">
        <v>60</v>
      </c>
      <c r="B345" s="113">
        <v>19800000</v>
      </c>
      <c r="C345" s="127">
        <f t="shared" si="14"/>
        <v>67930000</v>
      </c>
      <c r="E345" s="113">
        <f>19800000-11010000</f>
        <v>8790000</v>
      </c>
      <c r="I345" s="113">
        <v>19800000</v>
      </c>
      <c r="K345" s="113">
        <f>19800000-260000</f>
        <v>19540000</v>
      </c>
      <c r="N345" s="113">
        <v>19800000</v>
      </c>
    </row>
    <row r="346" spans="1:21" s="90" customFormat="1" ht="12.75">
      <c r="A346" s="32" t="s">
        <v>51</v>
      </c>
      <c r="B346" s="110">
        <f>SUM(B339:B345)</f>
        <v>41010000</v>
      </c>
      <c r="C346" s="110">
        <f>SUM(D346:U346)</f>
        <v>152770000</v>
      </c>
      <c r="D346" s="18"/>
      <c r="E346" s="110">
        <f>SUM(E339:E345)</f>
        <v>30000000</v>
      </c>
      <c r="F346" s="18"/>
      <c r="G346" s="18"/>
      <c r="H346" s="110">
        <f aca="true" t="shared" si="15" ref="H346:U346">SUM(H339:H345)</f>
        <v>0</v>
      </c>
      <c r="I346" s="110">
        <f t="shared" si="15"/>
        <v>41010000</v>
      </c>
      <c r="J346" s="110">
        <f t="shared" si="15"/>
        <v>0</v>
      </c>
      <c r="K346" s="110">
        <f t="shared" si="15"/>
        <v>40750000</v>
      </c>
      <c r="L346" s="110">
        <f t="shared" si="15"/>
        <v>0</v>
      </c>
      <c r="M346" s="110">
        <f t="shared" si="15"/>
        <v>0</v>
      </c>
      <c r="N346" s="110">
        <f t="shared" si="15"/>
        <v>41010000</v>
      </c>
      <c r="O346" s="110">
        <f t="shared" si="15"/>
        <v>0</v>
      </c>
      <c r="P346" s="110">
        <f t="shared" si="15"/>
        <v>0</v>
      </c>
      <c r="Q346" s="110">
        <f t="shared" si="15"/>
        <v>0</v>
      </c>
      <c r="R346" s="110">
        <f t="shared" si="15"/>
        <v>0</v>
      </c>
      <c r="S346" s="110">
        <f t="shared" si="15"/>
        <v>0</v>
      </c>
      <c r="T346" s="110">
        <f t="shared" si="15"/>
        <v>0</v>
      </c>
      <c r="U346" s="110">
        <f t="shared" si="15"/>
        <v>0</v>
      </c>
    </row>
    <row r="347" spans="1:21" s="93" customFormat="1" ht="12.75">
      <c r="A347" s="94" t="s">
        <v>256</v>
      </c>
      <c r="B347" s="120">
        <f>B324+B335+B346</f>
        <v>249400000</v>
      </c>
      <c r="C347" s="120">
        <f>SUM(D347:U347)</f>
        <v>716650000</v>
      </c>
      <c r="D347" s="120">
        <f aca="true" t="shared" si="16" ref="D347:U347">D324+D335+D346</f>
        <v>0</v>
      </c>
      <c r="E347" s="120">
        <f t="shared" si="16"/>
        <v>55000000</v>
      </c>
      <c r="F347" s="120">
        <f t="shared" si="16"/>
        <v>110000000</v>
      </c>
      <c r="G347" s="120">
        <f t="shared" si="16"/>
        <v>92875000</v>
      </c>
      <c r="H347" s="120">
        <f t="shared" si="16"/>
        <v>12000000</v>
      </c>
      <c r="I347" s="120">
        <f t="shared" si="16"/>
        <v>249900000</v>
      </c>
      <c r="J347" s="120">
        <f t="shared" si="16"/>
        <v>0</v>
      </c>
      <c r="K347" s="120">
        <f t="shared" si="16"/>
        <v>40750000</v>
      </c>
      <c r="L347" s="120">
        <f t="shared" si="16"/>
        <v>0</v>
      </c>
      <c r="M347" s="120">
        <f t="shared" si="16"/>
        <v>0</v>
      </c>
      <c r="N347" s="120">
        <f t="shared" si="16"/>
        <v>72000000</v>
      </c>
      <c r="O347" s="120">
        <f t="shared" si="16"/>
        <v>0</v>
      </c>
      <c r="P347" s="120">
        <f t="shared" si="16"/>
        <v>0</v>
      </c>
      <c r="Q347" s="120">
        <f t="shared" si="16"/>
        <v>0</v>
      </c>
      <c r="R347" s="120">
        <f t="shared" si="16"/>
        <v>0</v>
      </c>
      <c r="S347" s="120">
        <f t="shared" si="16"/>
        <v>32125000</v>
      </c>
      <c r="T347" s="120">
        <f t="shared" si="16"/>
        <v>52000000</v>
      </c>
      <c r="U347" s="120">
        <f t="shared" si="16"/>
        <v>0</v>
      </c>
    </row>
    <row r="348" spans="1:21" s="84" customFormat="1" ht="12.75">
      <c r="A348" s="74" t="s">
        <v>257</v>
      </c>
      <c r="B348" s="76">
        <f>B178+B309+B347</f>
        <v>5089411500</v>
      </c>
      <c r="C348" s="76">
        <f>SUM(D348:U348)</f>
        <v>7821712000</v>
      </c>
      <c r="D348" s="76">
        <f aca="true" t="shared" si="17" ref="D348:U348">D178+D309+D347</f>
        <v>0</v>
      </c>
      <c r="E348" s="76">
        <f t="shared" si="17"/>
        <v>385000000</v>
      </c>
      <c r="F348" s="76">
        <f t="shared" si="17"/>
        <v>3550000000</v>
      </c>
      <c r="G348" s="76">
        <f t="shared" si="17"/>
        <v>117875000</v>
      </c>
      <c r="H348" s="76">
        <f t="shared" si="17"/>
        <v>180000000</v>
      </c>
      <c r="I348" s="76">
        <f t="shared" si="17"/>
        <v>2317712000</v>
      </c>
      <c r="J348" s="76">
        <f t="shared" si="17"/>
        <v>0</v>
      </c>
      <c r="K348" s="76">
        <f t="shared" si="17"/>
        <v>634000000</v>
      </c>
      <c r="L348" s="76">
        <f t="shared" si="17"/>
        <v>0</v>
      </c>
      <c r="M348" s="76">
        <f t="shared" si="17"/>
        <v>23162500</v>
      </c>
      <c r="N348" s="76">
        <f t="shared" si="17"/>
        <v>200000000</v>
      </c>
      <c r="O348" s="76">
        <f t="shared" si="17"/>
        <v>0</v>
      </c>
      <c r="P348" s="76">
        <f t="shared" si="17"/>
        <v>0</v>
      </c>
      <c r="Q348" s="76">
        <f t="shared" si="17"/>
        <v>0</v>
      </c>
      <c r="R348" s="76">
        <f t="shared" si="17"/>
        <v>0</v>
      </c>
      <c r="S348" s="76">
        <f t="shared" si="17"/>
        <v>158962500</v>
      </c>
      <c r="T348" s="76">
        <f t="shared" si="17"/>
        <v>255000000</v>
      </c>
      <c r="U348" s="76">
        <f t="shared" si="17"/>
        <v>0</v>
      </c>
    </row>
    <row r="350" spans="1:3" ht="12.75">
      <c r="A350" s="1" t="s">
        <v>268</v>
      </c>
      <c r="B350" s="108"/>
      <c r="C350" s="108"/>
    </row>
    <row r="351" spans="1:21" s="19" customFormat="1" ht="12.75">
      <c r="A351" s="86" t="s">
        <v>269</v>
      </c>
      <c r="B351" s="87"/>
      <c r="C351" s="87"/>
      <c r="D351" s="25"/>
      <c r="E351" s="25"/>
      <c r="F351" s="25"/>
      <c r="G351" s="25"/>
      <c r="H351" s="25"/>
      <c r="I351" s="26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</row>
    <row r="352" spans="1:3" ht="12.75">
      <c r="A352" s="1" t="s">
        <v>92</v>
      </c>
      <c r="B352" s="108"/>
      <c r="C352" s="108"/>
    </row>
    <row r="353" spans="1:3" ht="12.75">
      <c r="A353" s="30" t="s">
        <v>93</v>
      </c>
      <c r="B353" s="121"/>
      <c r="C353" s="121"/>
    </row>
    <row r="354" spans="1:22" ht="12.75">
      <c r="A354" s="30" t="s">
        <v>95</v>
      </c>
      <c r="B354" s="121">
        <v>128000000</v>
      </c>
      <c r="C354" s="121">
        <f>SUM(D354:U354)</f>
        <v>128000000.04761904</v>
      </c>
      <c r="D354" s="35"/>
      <c r="E354" s="65">
        <v>15000000</v>
      </c>
      <c r="G354" s="65">
        <v>10000000</v>
      </c>
      <c r="I354" s="65">
        <f>B354-112047619</f>
        <v>15952381</v>
      </c>
      <c r="K354" s="65">
        <v>20000000</v>
      </c>
      <c r="O354" s="22">
        <f>B354*(3500/10500)*100%</f>
        <v>42666666.666666664</v>
      </c>
      <c r="U354" s="22">
        <f>B354*(2000/10500)*100%</f>
        <v>24380952.38095238</v>
      </c>
      <c r="V354" s="63"/>
    </row>
    <row r="355" spans="1:21" ht="12.75">
      <c r="A355" s="30" t="s">
        <v>96</v>
      </c>
      <c r="B355" s="121">
        <v>16000000</v>
      </c>
      <c r="C355" s="121">
        <f aca="true" t="shared" si="18" ref="C355:C365">SUM(D355:U355)</f>
        <v>16000000</v>
      </c>
      <c r="G355" s="65"/>
      <c r="I355" s="65">
        <f>B355*(5000/10500)*100%</f>
        <v>7619047.6190476185</v>
      </c>
      <c r="K355" s="65"/>
      <c r="O355" s="22">
        <f aca="true" t="shared" si="19" ref="O355:O363">B355*(3500/10500)*100%</f>
        <v>5333333.333333333</v>
      </c>
      <c r="U355" s="22">
        <f aca="true" t="shared" si="20" ref="U355:U363">B355*(2000/10500)*100%</f>
        <v>3047619.0476190476</v>
      </c>
    </row>
    <row r="356" spans="1:21" ht="12.75">
      <c r="A356" s="30" t="s">
        <v>97</v>
      </c>
      <c r="B356" s="121">
        <v>112000000</v>
      </c>
      <c r="C356" s="121">
        <f t="shared" si="18"/>
        <v>111999999.99999999</v>
      </c>
      <c r="G356" s="65"/>
      <c r="I356" s="65">
        <f>B356*(5000/10500)*100%</f>
        <v>53333333.33333333</v>
      </c>
      <c r="K356" s="65"/>
      <c r="O356" s="22">
        <f t="shared" si="19"/>
        <v>37333333.33333333</v>
      </c>
      <c r="U356" s="22">
        <f t="shared" si="20"/>
        <v>21333333.333333332</v>
      </c>
    </row>
    <row r="357" spans="1:21" ht="12.75">
      <c r="A357" s="30" t="s">
        <v>98</v>
      </c>
      <c r="B357" s="121">
        <v>10800000</v>
      </c>
      <c r="C357" s="121">
        <f t="shared" si="18"/>
        <v>10799999.999999998</v>
      </c>
      <c r="G357" s="65"/>
      <c r="I357" s="65">
        <f>B357*(5000/10500)*100%</f>
        <v>5142857.142857143</v>
      </c>
      <c r="K357" s="65"/>
      <c r="O357" s="22">
        <f t="shared" si="19"/>
        <v>3600000</v>
      </c>
      <c r="U357" s="22">
        <f t="shared" si="20"/>
        <v>2057142.857142857</v>
      </c>
    </row>
    <row r="358" spans="1:21" ht="12.75">
      <c r="A358" s="30" t="s">
        <v>105</v>
      </c>
      <c r="B358" s="121">
        <f>32000000*4</f>
        <v>128000000</v>
      </c>
      <c r="C358" s="121">
        <f t="shared" si="18"/>
        <v>128000000</v>
      </c>
      <c r="G358" s="65">
        <f>30000000</f>
        <v>30000000</v>
      </c>
      <c r="I358" s="65">
        <f>B358*(5000/10500)*100%-G358-10000000</f>
        <v>20952380.952380948</v>
      </c>
      <c r="K358" s="65"/>
      <c r="O358" s="22">
        <f t="shared" si="19"/>
        <v>42666666.666666664</v>
      </c>
      <c r="S358" s="65">
        <v>10000000</v>
      </c>
      <c r="U358" s="22">
        <f t="shared" si="20"/>
        <v>24380952.38095238</v>
      </c>
    </row>
    <row r="359" spans="1:21" ht="12.75">
      <c r="A359" s="30"/>
      <c r="B359" s="121"/>
      <c r="C359" s="121"/>
      <c r="G359" s="65"/>
      <c r="K359" s="65"/>
      <c r="O359" s="22">
        <f t="shared" si="19"/>
        <v>0</v>
      </c>
      <c r="U359" s="22">
        <f t="shared" si="20"/>
        <v>0</v>
      </c>
    </row>
    <row r="360" spans="1:21" ht="12.75">
      <c r="A360" s="30" t="s">
        <v>94</v>
      </c>
      <c r="B360" s="121"/>
      <c r="C360" s="121"/>
      <c r="G360" s="65"/>
      <c r="K360" s="65"/>
      <c r="O360" s="22">
        <f t="shared" si="19"/>
        <v>0</v>
      </c>
      <c r="U360" s="22">
        <f t="shared" si="20"/>
        <v>0</v>
      </c>
    </row>
    <row r="361" spans="1:21" ht="12.75">
      <c r="A361" s="30" t="s">
        <v>106</v>
      </c>
      <c r="B361" s="121">
        <v>6000000</v>
      </c>
      <c r="C361" s="121">
        <f t="shared" si="18"/>
        <v>5999999.999999999</v>
      </c>
      <c r="G361" s="65"/>
      <c r="I361" s="65">
        <f>B361*(5000/10500)*100%</f>
        <v>2857142.857142857</v>
      </c>
      <c r="K361" s="65"/>
      <c r="O361" s="22">
        <f t="shared" si="19"/>
        <v>2000000</v>
      </c>
      <c r="U361" s="22">
        <f t="shared" si="20"/>
        <v>1142857.1428571427</v>
      </c>
    </row>
    <row r="362" spans="1:21" ht="12.75">
      <c r="A362" s="30" t="s">
        <v>107</v>
      </c>
      <c r="B362" s="121">
        <v>15000000</v>
      </c>
      <c r="C362" s="121">
        <f t="shared" si="18"/>
        <v>14999999.999999998</v>
      </c>
      <c r="I362" s="65">
        <f>B362*(5000/10500)*100%</f>
        <v>7142857.142857143</v>
      </c>
      <c r="K362" s="65"/>
      <c r="O362" s="22">
        <f t="shared" si="19"/>
        <v>5000000</v>
      </c>
      <c r="U362" s="22">
        <f t="shared" si="20"/>
        <v>2857142.857142857</v>
      </c>
    </row>
    <row r="363" spans="1:21" ht="12.75">
      <c r="A363" s="30" t="s">
        <v>100</v>
      </c>
      <c r="B363" s="121">
        <v>25000000</v>
      </c>
      <c r="C363" s="121">
        <f t="shared" si="18"/>
        <v>25000000</v>
      </c>
      <c r="I363" s="65">
        <f>B363*(5000/10500)*100%</f>
        <v>11904761.904761905</v>
      </c>
      <c r="K363" s="65"/>
      <c r="O363" s="22">
        <f t="shared" si="19"/>
        <v>8333333.333333333</v>
      </c>
      <c r="U363" s="22">
        <f t="shared" si="20"/>
        <v>4761904.761904761</v>
      </c>
    </row>
    <row r="364" spans="1:21" ht="12.75">
      <c r="A364" s="30" t="s">
        <v>108</v>
      </c>
      <c r="B364" s="121">
        <v>1000000</v>
      </c>
      <c r="C364" s="121">
        <f t="shared" si="18"/>
        <v>1000000</v>
      </c>
      <c r="K364" s="65"/>
      <c r="U364" s="22">
        <v>1000000</v>
      </c>
    </row>
    <row r="365" spans="1:22" s="90" customFormat="1" ht="12.75">
      <c r="A365" s="49" t="s">
        <v>142</v>
      </c>
      <c r="B365" s="89">
        <f>SUM(B354:B364)</f>
        <v>441800000</v>
      </c>
      <c r="C365" s="89">
        <f t="shared" si="18"/>
        <v>440800000.04761904</v>
      </c>
      <c r="D365" s="5"/>
      <c r="E365" s="89">
        <f>SUM(E354:E364)</f>
        <v>15000000</v>
      </c>
      <c r="F365" s="5"/>
      <c r="G365" s="89">
        <f>SUM(G354:G363)</f>
        <v>40000000</v>
      </c>
      <c r="H365" s="5"/>
      <c r="I365" s="89">
        <f>SUM(I354:I364)</f>
        <v>124904761.95238096</v>
      </c>
      <c r="J365" s="5"/>
      <c r="K365" s="89">
        <f>SUM(K354:K364)</f>
        <v>20000000</v>
      </c>
      <c r="L365" s="5"/>
      <c r="M365" s="89">
        <f aca="true" t="shared" si="21" ref="M365:U365">SUM(M354:M363)</f>
        <v>0</v>
      </c>
      <c r="N365" s="89">
        <f t="shared" si="21"/>
        <v>0</v>
      </c>
      <c r="O365" s="89">
        <f t="shared" si="21"/>
        <v>146933333.33333334</v>
      </c>
      <c r="P365" s="89">
        <f t="shared" si="21"/>
        <v>0</v>
      </c>
      <c r="Q365" s="89">
        <f t="shared" si="21"/>
        <v>0</v>
      </c>
      <c r="R365" s="89">
        <f t="shared" si="21"/>
        <v>0</v>
      </c>
      <c r="S365" s="89">
        <f t="shared" si="21"/>
        <v>10000000</v>
      </c>
      <c r="T365" s="89">
        <f t="shared" si="21"/>
        <v>0</v>
      </c>
      <c r="U365" s="89">
        <f t="shared" si="21"/>
        <v>83961904.76190476</v>
      </c>
      <c r="V365" s="64"/>
    </row>
    <row r="366" spans="1:11" ht="12.75">
      <c r="A366" s="1"/>
      <c r="B366" s="121"/>
      <c r="C366" s="121"/>
      <c r="K366" s="65"/>
    </row>
    <row r="367" spans="1:11" ht="12.75">
      <c r="A367" s="1" t="s">
        <v>101</v>
      </c>
      <c r="B367" s="121"/>
      <c r="C367" s="121"/>
      <c r="K367" s="65"/>
    </row>
    <row r="368" spans="1:11" ht="12.75">
      <c r="A368" s="30" t="s">
        <v>93</v>
      </c>
      <c r="B368" s="121"/>
      <c r="C368" s="121"/>
      <c r="K368" s="65"/>
    </row>
    <row r="369" spans="1:19" ht="12.75">
      <c r="A369" s="30" t="s">
        <v>109</v>
      </c>
      <c r="B369" s="121">
        <v>36000000</v>
      </c>
      <c r="C369" s="111">
        <f aca="true" t="shared" si="22" ref="C369:C383">SUM(D369:I369)</f>
        <v>36000000</v>
      </c>
      <c r="E369" s="65">
        <v>10000000</v>
      </c>
      <c r="G369" s="65"/>
      <c r="H369" s="65"/>
      <c r="I369" s="65">
        <f>B369-G369-10000000</f>
        <v>26000000</v>
      </c>
      <c r="K369" s="65">
        <v>20000000</v>
      </c>
      <c r="S369" s="65">
        <v>10000000</v>
      </c>
    </row>
    <row r="370" spans="1:11" ht="12.75">
      <c r="A370" s="30" t="s">
        <v>110</v>
      </c>
      <c r="B370" s="121">
        <v>9000000</v>
      </c>
      <c r="C370" s="111">
        <f t="shared" si="22"/>
        <v>9000000</v>
      </c>
      <c r="E370" s="65"/>
      <c r="G370" s="65"/>
      <c r="H370" s="65"/>
      <c r="I370" s="121">
        <v>9000000</v>
      </c>
      <c r="K370" s="65"/>
    </row>
    <row r="371" spans="1:11" ht="12.75">
      <c r="A371" s="30" t="s">
        <v>111</v>
      </c>
      <c r="B371" s="121">
        <v>450000</v>
      </c>
      <c r="C371" s="111">
        <f t="shared" si="22"/>
        <v>450000</v>
      </c>
      <c r="E371" s="65"/>
      <c r="G371" s="65"/>
      <c r="H371" s="65"/>
      <c r="I371" s="121">
        <v>450000</v>
      </c>
      <c r="K371" s="65"/>
    </row>
    <row r="372" spans="1:11" ht="12.75">
      <c r="A372" s="30" t="s">
        <v>112</v>
      </c>
      <c r="B372" s="121"/>
      <c r="C372" s="111"/>
      <c r="E372" s="65"/>
      <c r="G372" s="65"/>
      <c r="H372" s="65"/>
      <c r="I372" s="121"/>
      <c r="K372" s="65"/>
    </row>
    <row r="373" spans="1:11" ht="12.75">
      <c r="A373" s="31" t="s">
        <v>117</v>
      </c>
      <c r="B373" s="121">
        <v>22500000</v>
      </c>
      <c r="C373" s="111">
        <f t="shared" si="22"/>
        <v>22500000</v>
      </c>
      <c r="E373" s="65"/>
      <c r="G373" s="65"/>
      <c r="H373" s="65"/>
      <c r="I373" s="121">
        <v>22500000</v>
      </c>
      <c r="K373" s="65"/>
    </row>
    <row r="374" spans="1:11" ht="12.75">
      <c r="A374" s="31" t="s">
        <v>113</v>
      </c>
      <c r="B374" s="121">
        <v>31500000</v>
      </c>
      <c r="C374" s="111">
        <f t="shared" si="22"/>
        <v>31500000</v>
      </c>
      <c r="E374" s="65"/>
      <c r="G374" s="65"/>
      <c r="H374" s="65"/>
      <c r="I374" s="121">
        <v>31500000</v>
      </c>
      <c r="K374" s="65"/>
    </row>
    <row r="375" spans="1:11" ht="12.75">
      <c r="A375" s="31" t="s">
        <v>114</v>
      </c>
      <c r="B375" s="121">
        <v>54000000</v>
      </c>
      <c r="C375" s="111">
        <f t="shared" si="22"/>
        <v>54000000</v>
      </c>
      <c r="E375" s="65"/>
      <c r="G375" s="65"/>
      <c r="H375" s="65"/>
      <c r="I375" s="121">
        <v>54000000</v>
      </c>
      <c r="K375" s="65"/>
    </row>
    <row r="376" spans="1:11" ht="12.75">
      <c r="A376" s="31" t="s">
        <v>116</v>
      </c>
      <c r="B376" s="121">
        <v>45000000</v>
      </c>
      <c r="C376" s="111">
        <f t="shared" si="22"/>
        <v>45000000</v>
      </c>
      <c r="E376" s="65"/>
      <c r="G376" s="65"/>
      <c r="H376" s="65"/>
      <c r="I376" s="121">
        <v>45000000</v>
      </c>
      <c r="K376" s="65"/>
    </row>
    <row r="377" spans="1:19" ht="12.75">
      <c r="A377" s="31" t="s">
        <v>115</v>
      </c>
      <c r="B377" s="121">
        <v>40500000</v>
      </c>
      <c r="C377" s="111">
        <f t="shared" si="22"/>
        <v>40500000</v>
      </c>
      <c r="E377" s="65">
        <v>10000000</v>
      </c>
      <c r="G377" s="65">
        <v>10000000</v>
      </c>
      <c r="H377" s="65"/>
      <c r="I377" s="65">
        <f>B377-G377-10000000</f>
        <v>20500000</v>
      </c>
      <c r="K377" s="65">
        <v>10000000</v>
      </c>
      <c r="S377" s="65">
        <v>30000000</v>
      </c>
    </row>
    <row r="378" spans="1:11" ht="12.75">
      <c r="A378" s="30"/>
      <c r="B378" s="121"/>
      <c r="C378" s="111">
        <f t="shared" si="22"/>
        <v>0</v>
      </c>
      <c r="G378" s="65"/>
      <c r="H378" s="65"/>
      <c r="K378" s="65"/>
    </row>
    <row r="379" spans="1:11" ht="12.75">
      <c r="A379" s="30" t="s">
        <v>94</v>
      </c>
      <c r="B379" s="121"/>
      <c r="C379" s="111">
        <f t="shared" si="22"/>
        <v>0</v>
      </c>
      <c r="G379" s="65"/>
      <c r="H379" s="65"/>
      <c r="I379" s="121"/>
      <c r="K379" s="65"/>
    </row>
    <row r="380" spans="1:11" ht="12.75">
      <c r="A380" s="30" t="s">
        <v>121</v>
      </c>
      <c r="B380" s="121">
        <v>1000000</v>
      </c>
      <c r="C380" s="111">
        <f t="shared" si="22"/>
        <v>1000000</v>
      </c>
      <c r="G380" s="65"/>
      <c r="H380" s="65"/>
      <c r="I380" s="121">
        <v>1000000</v>
      </c>
      <c r="K380" s="65"/>
    </row>
    <row r="381" spans="1:11" ht="12.75">
      <c r="A381" s="30" t="s">
        <v>99</v>
      </c>
      <c r="B381" s="121">
        <v>5000000</v>
      </c>
      <c r="C381" s="111">
        <f t="shared" si="22"/>
        <v>5000000</v>
      </c>
      <c r="G381" s="65"/>
      <c r="H381" s="65"/>
      <c r="I381" s="121">
        <v>5000000</v>
      </c>
      <c r="K381" s="65"/>
    </row>
    <row r="382" spans="1:11" ht="12.75">
      <c r="A382" s="30" t="s">
        <v>118</v>
      </c>
      <c r="B382" s="121">
        <v>18000000</v>
      </c>
      <c r="C382" s="111">
        <f t="shared" si="22"/>
        <v>18000000</v>
      </c>
      <c r="G382" s="65"/>
      <c r="H382" s="65"/>
      <c r="I382" s="121">
        <v>18000000</v>
      </c>
      <c r="K382" s="65"/>
    </row>
    <row r="383" spans="1:11" ht="12.75">
      <c r="A383" s="30" t="s">
        <v>119</v>
      </c>
      <c r="B383" s="121">
        <v>1000000</v>
      </c>
      <c r="C383" s="111">
        <f t="shared" si="22"/>
        <v>1000000</v>
      </c>
      <c r="G383" s="65"/>
      <c r="H383" s="65"/>
      <c r="I383" s="121">
        <v>1000000</v>
      </c>
      <c r="K383" s="65"/>
    </row>
    <row r="384" spans="1:21" s="90" customFormat="1" ht="27.75" customHeight="1">
      <c r="A384" s="49" t="s">
        <v>143</v>
      </c>
      <c r="B384" s="89">
        <f>SUM(B369:B383)</f>
        <v>263950000</v>
      </c>
      <c r="C384" s="89">
        <f>SUM(D384:I384)</f>
        <v>263950000</v>
      </c>
      <c r="D384" s="18"/>
      <c r="E384" s="89">
        <f>SUM(E369:E383)</f>
        <v>20000000</v>
      </c>
      <c r="F384" s="18"/>
      <c r="G384" s="89">
        <f>SUM(G369:G383)</f>
        <v>10000000</v>
      </c>
      <c r="H384" s="18"/>
      <c r="I384" s="4">
        <f>SUM(I369:I383)</f>
        <v>233950000</v>
      </c>
      <c r="J384" s="18"/>
      <c r="K384" s="89">
        <f>SUM(K369:K383)</f>
        <v>30000000</v>
      </c>
      <c r="L384" s="18"/>
      <c r="M384" s="89">
        <f aca="true" t="shared" si="23" ref="M384:U384">SUM(M369:M383)</f>
        <v>0</v>
      </c>
      <c r="N384" s="89">
        <f t="shared" si="23"/>
        <v>0</v>
      </c>
      <c r="O384" s="89">
        <f t="shared" si="23"/>
        <v>0</v>
      </c>
      <c r="P384" s="89">
        <f t="shared" si="23"/>
        <v>0</v>
      </c>
      <c r="Q384" s="89">
        <f t="shared" si="23"/>
        <v>0</v>
      </c>
      <c r="R384" s="89">
        <f t="shared" si="23"/>
        <v>0</v>
      </c>
      <c r="S384" s="89">
        <f t="shared" si="23"/>
        <v>40000000</v>
      </c>
      <c r="T384" s="89">
        <f t="shared" si="23"/>
        <v>0</v>
      </c>
      <c r="U384" s="89">
        <f t="shared" si="23"/>
        <v>0</v>
      </c>
    </row>
    <row r="385" spans="1:3" ht="12.75">
      <c r="A385" s="1"/>
      <c r="B385" s="121"/>
      <c r="C385" s="121"/>
    </row>
    <row r="386" spans="1:3" ht="25.5">
      <c r="A386" s="28" t="s">
        <v>102</v>
      </c>
      <c r="B386" s="121"/>
      <c r="C386" s="121"/>
    </row>
    <row r="387" spans="1:3" ht="12.75">
      <c r="A387" s="30" t="s">
        <v>93</v>
      </c>
      <c r="B387" s="121"/>
      <c r="C387" s="121"/>
    </row>
    <row r="388" spans="1:21" ht="12.75">
      <c r="A388" s="216" t="s">
        <v>122</v>
      </c>
      <c r="B388" s="136">
        <v>17200000</v>
      </c>
      <c r="C388" s="111">
        <f aca="true" t="shared" si="24" ref="C388:C396">SUM(D388:U388)</f>
        <v>17200000</v>
      </c>
      <c r="E388" s="65">
        <v>10000000</v>
      </c>
      <c r="F388" s="65"/>
      <c r="G388" s="65"/>
      <c r="H388" s="65"/>
      <c r="I388" s="65">
        <v>4000000</v>
      </c>
      <c r="J388" s="65"/>
      <c r="K388" s="65"/>
      <c r="L388" s="65"/>
      <c r="M388" s="65"/>
      <c r="N388" s="65"/>
      <c r="O388" s="22">
        <v>2000000</v>
      </c>
      <c r="P388" s="65"/>
      <c r="Q388" s="65"/>
      <c r="R388" s="65"/>
      <c r="S388" s="65"/>
      <c r="T388" s="65"/>
      <c r="U388" s="22">
        <v>1200000</v>
      </c>
    </row>
    <row r="389" spans="1:21" ht="12.75">
      <c r="A389" s="30" t="s">
        <v>123</v>
      </c>
      <c r="B389" s="121">
        <v>12000000</v>
      </c>
      <c r="C389" s="111">
        <f t="shared" si="24"/>
        <v>11999999.999999998</v>
      </c>
      <c r="F389" s="65"/>
      <c r="G389" s="65"/>
      <c r="H389" s="65"/>
      <c r="I389" s="65">
        <f aca="true" t="shared" si="25" ref="I389:I394">B389*(5000/10500)*100%-G389</f>
        <v>5714285.714285714</v>
      </c>
      <c r="J389" s="65"/>
      <c r="K389" s="65"/>
      <c r="L389" s="65"/>
      <c r="M389" s="65"/>
      <c r="N389" s="65"/>
      <c r="O389" s="22">
        <f aca="true" t="shared" si="26" ref="O389:O394">B389*(3500/10500)*100%</f>
        <v>4000000</v>
      </c>
      <c r="P389" s="65"/>
      <c r="Q389" s="65"/>
      <c r="R389" s="65"/>
      <c r="S389" s="65"/>
      <c r="T389" s="65"/>
      <c r="U389" s="22">
        <f aca="true" t="shared" si="27" ref="U389:U394">B389*(2000/10500)*100%</f>
        <v>2285714.2857142854</v>
      </c>
    </row>
    <row r="390" spans="1:21" ht="12.75">
      <c r="A390" s="30" t="s">
        <v>124</v>
      </c>
      <c r="B390" s="121">
        <v>4800000</v>
      </c>
      <c r="C390" s="111">
        <f t="shared" si="24"/>
        <v>4800000</v>
      </c>
      <c r="F390" s="65"/>
      <c r="G390" s="65"/>
      <c r="H390" s="65"/>
      <c r="I390" s="65">
        <f t="shared" si="25"/>
        <v>2285714.2857142854</v>
      </c>
      <c r="J390" s="65"/>
      <c r="K390" s="65"/>
      <c r="L390" s="65"/>
      <c r="M390" s="65"/>
      <c r="N390" s="65"/>
      <c r="O390" s="22">
        <f t="shared" si="26"/>
        <v>1600000</v>
      </c>
      <c r="P390" s="65"/>
      <c r="Q390" s="65"/>
      <c r="R390" s="65"/>
      <c r="S390" s="65"/>
      <c r="T390" s="65"/>
      <c r="U390" s="22">
        <f t="shared" si="27"/>
        <v>914285.7142857142</v>
      </c>
    </row>
    <row r="391" spans="1:21" ht="12.75">
      <c r="A391" s="30"/>
      <c r="B391" s="121"/>
      <c r="C391" s="111">
        <f t="shared" si="24"/>
        <v>0</v>
      </c>
      <c r="F391" s="65"/>
      <c r="G391" s="65"/>
      <c r="H391" s="65"/>
      <c r="I391" s="65">
        <f t="shared" si="25"/>
        <v>0</v>
      </c>
      <c r="J391" s="65"/>
      <c r="K391" s="65"/>
      <c r="L391" s="65"/>
      <c r="M391" s="65"/>
      <c r="N391" s="65"/>
      <c r="O391" s="22">
        <f t="shared" si="26"/>
        <v>0</v>
      </c>
      <c r="P391" s="65"/>
      <c r="Q391" s="65"/>
      <c r="R391" s="65"/>
      <c r="S391" s="65"/>
      <c r="T391" s="65"/>
      <c r="U391" s="22">
        <f t="shared" si="27"/>
        <v>0</v>
      </c>
    </row>
    <row r="392" spans="1:21" ht="12.75">
      <c r="A392" s="30" t="s">
        <v>94</v>
      </c>
      <c r="B392" s="121"/>
      <c r="C392" s="111">
        <f t="shared" si="24"/>
        <v>0</v>
      </c>
      <c r="F392" s="65"/>
      <c r="G392" s="65"/>
      <c r="H392" s="65"/>
      <c r="I392" s="65">
        <f t="shared" si="25"/>
        <v>0</v>
      </c>
      <c r="J392" s="65"/>
      <c r="K392" s="65"/>
      <c r="L392" s="65"/>
      <c r="M392" s="65"/>
      <c r="N392" s="65"/>
      <c r="O392" s="22">
        <f t="shared" si="26"/>
        <v>0</v>
      </c>
      <c r="P392" s="65"/>
      <c r="Q392" s="65"/>
      <c r="R392" s="65"/>
      <c r="S392" s="65"/>
      <c r="T392" s="65"/>
      <c r="U392" s="22">
        <f t="shared" si="27"/>
        <v>0</v>
      </c>
    </row>
    <row r="393" spans="1:21" ht="12.75">
      <c r="A393" s="30" t="s">
        <v>120</v>
      </c>
      <c r="B393" s="121">
        <v>4000000</v>
      </c>
      <c r="C393" s="111">
        <f t="shared" si="24"/>
        <v>4000000</v>
      </c>
      <c r="F393" s="65"/>
      <c r="G393" s="65"/>
      <c r="H393" s="65"/>
      <c r="I393" s="65">
        <f t="shared" si="25"/>
        <v>1904761.9047619046</v>
      </c>
      <c r="J393" s="65"/>
      <c r="K393" s="65"/>
      <c r="L393" s="65"/>
      <c r="M393" s="65"/>
      <c r="N393" s="65"/>
      <c r="O393" s="22">
        <f t="shared" si="26"/>
        <v>1333333.3333333333</v>
      </c>
      <c r="P393" s="65"/>
      <c r="Q393" s="65"/>
      <c r="R393" s="65"/>
      <c r="S393" s="65"/>
      <c r="T393" s="65"/>
      <c r="U393" s="22">
        <f t="shared" si="27"/>
        <v>761904.7619047619</v>
      </c>
    </row>
    <row r="394" spans="1:21" ht="12.75">
      <c r="A394" s="30" t="s">
        <v>127</v>
      </c>
      <c r="B394" s="121">
        <v>10000000</v>
      </c>
      <c r="C394" s="111">
        <f t="shared" si="24"/>
        <v>9999999.999999998</v>
      </c>
      <c r="F394" s="65"/>
      <c r="G394" s="65"/>
      <c r="H394" s="65"/>
      <c r="I394" s="65">
        <f t="shared" si="25"/>
        <v>4761904.761904761</v>
      </c>
      <c r="J394" s="65"/>
      <c r="K394" s="65"/>
      <c r="L394" s="65"/>
      <c r="M394" s="65"/>
      <c r="N394" s="65"/>
      <c r="O394" s="22">
        <f t="shared" si="26"/>
        <v>3333333.333333333</v>
      </c>
      <c r="P394" s="65"/>
      <c r="Q394" s="65"/>
      <c r="R394" s="65"/>
      <c r="S394" s="65"/>
      <c r="T394" s="65"/>
      <c r="U394" s="22">
        <f t="shared" si="27"/>
        <v>1904761.9047619046</v>
      </c>
    </row>
    <row r="395" spans="1:21" ht="12.75">
      <c r="A395" s="30" t="s">
        <v>126</v>
      </c>
      <c r="B395" s="121">
        <v>60000000</v>
      </c>
      <c r="C395" s="111">
        <f t="shared" si="24"/>
        <v>60000000</v>
      </c>
      <c r="F395" s="65"/>
      <c r="G395" s="65"/>
      <c r="H395" s="65"/>
      <c r="I395" s="65">
        <f>B395-M395</f>
        <v>10000000</v>
      </c>
      <c r="J395" s="65"/>
      <c r="K395" s="65"/>
      <c r="L395" s="65"/>
      <c r="M395" s="65">
        <v>50000000</v>
      </c>
      <c r="N395" s="65"/>
      <c r="O395" s="22"/>
      <c r="P395" s="65"/>
      <c r="Q395" s="65"/>
      <c r="R395" s="65"/>
      <c r="S395" s="65"/>
      <c r="T395" s="65"/>
      <c r="U395" s="65"/>
    </row>
    <row r="396" spans="1:21" ht="12.75">
      <c r="A396" s="30" t="s">
        <v>128</v>
      </c>
      <c r="B396" s="121">
        <v>1000000</v>
      </c>
      <c r="C396" s="111">
        <f t="shared" si="24"/>
        <v>1000000</v>
      </c>
      <c r="F396" s="65"/>
      <c r="G396" s="65"/>
      <c r="H396" s="65"/>
      <c r="J396" s="65"/>
      <c r="K396" s="65"/>
      <c r="L396" s="65"/>
      <c r="M396" s="65"/>
      <c r="N396" s="65"/>
      <c r="O396" s="22"/>
      <c r="P396" s="65"/>
      <c r="Q396" s="65"/>
      <c r="R396" s="65"/>
      <c r="S396" s="65"/>
      <c r="T396" s="65"/>
      <c r="U396" s="66">
        <v>1000000</v>
      </c>
    </row>
    <row r="397" spans="1:21" s="90" customFormat="1" ht="12.75">
      <c r="A397" s="49" t="s">
        <v>144</v>
      </c>
      <c r="B397" s="89">
        <f>SUM(B388:B396)</f>
        <v>109000000</v>
      </c>
      <c r="C397" s="89">
        <f aca="true" t="shared" si="28" ref="C397:U397">SUM(C388:C396)</f>
        <v>109000000</v>
      </c>
      <c r="D397" s="89">
        <f t="shared" si="28"/>
        <v>0</v>
      </c>
      <c r="E397" s="89">
        <f t="shared" si="28"/>
        <v>10000000</v>
      </c>
      <c r="F397" s="89">
        <f t="shared" si="28"/>
        <v>0</v>
      </c>
      <c r="G397" s="89">
        <f t="shared" si="28"/>
        <v>0</v>
      </c>
      <c r="H397" s="89">
        <f t="shared" si="28"/>
        <v>0</v>
      </c>
      <c r="I397" s="89">
        <f t="shared" si="28"/>
        <v>28666666.666666664</v>
      </c>
      <c r="J397" s="89">
        <f t="shared" si="28"/>
        <v>0</v>
      </c>
      <c r="K397" s="89">
        <f t="shared" si="28"/>
        <v>0</v>
      </c>
      <c r="L397" s="89">
        <f t="shared" si="28"/>
        <v>0</v>
      </c>
      <c r="M397" s="89">
        <f t="shared" si="28"/>
        <v>50000000</v>
      </c>
      <c r="N397" s="89">
        <f t="shared" si="28"/>
        <v>0</v>
      </c>
      <c r="O397" s="89">
        <f t="shared" si="28"/>
        <v>12266666.666666668</v>
      </c>
      <c r="P397" s="89">
        <f t="shared" si="28"/>
        <v>0</v>
      </c>
      <c r="Q397" s="89">
        <f t="shared" si="28"/>
        <v>0</v>
      </c>
      <c r="R397" s="89">
        <f t="shared" si="28"/>
        <v>0</v>
      </c>
      <c r="S397" s="89">
        <f t="shared" si="28"/>
        <v>0</v>
      </c>
      <c r="T397" s="89">
        <f t="shared" si="28"/>
        <v>0</v>
      </c>
      <c r="U397" s="89">
        <f t="shared" si="28"/>
        <v>8066666.666666667</v>
      </c>
    </row>
    <row r="398" spans="1:21" ht="12.75">
      <c r="A398" s="30"/>
      <c r="B398" s="121"/>
      <c r="C398" s="121"/>
      <c r="F398" s="65"/>
      <c r="G398" s="65"/>
      <c r="H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</row>
    <row r="399" spans="1:21" ht="25.5">
      <c r="A399" s="29" t="s">
        <v>103</v>
      </c>
      <c r="B399" s="121"/>
      <c r="C399" s="121"/>
      <c r="F399" s="65"/>
      <c r="G399" s="65"/>
      <c r="H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</row>
    <row r="400" spans="1:21" ht="12.75">
      <c r="A400" s="30" t="s">
        <v>93</v>
      </c>
      <c r="B400" s="121"/>
      <c r="C400" s="121"/>
      <c r="F400" s="65"/>
      <c r="G400" s="65"/>
      <c r="H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</row>
    <row r="401" spans="1:21" ht="12.75">
      <c r="A401" s="30" t="s">
        <v>129</v>
      </c>
      <c r="B401" s="121">
        <v>3600000</v>
      </c>
      <c r="C401" s="111">
        <f aca="true" t="shared" si="29" ref="C401:C418">SUM(D401:U401)</f>
        <v>3600000</v>
      </c>
      <c r="F401" s="65"/>
      <c r="G401" s="65"/>
      <c r="H401" s="65"/>
      <c r="I401" s="65">
        <f>B401*50%</f>
        <v>1800000</v>
      </c>
      <c r="J401" s="65"/>
      <c r="K401" s="65"/>
      <c r="L401" s="65"/>
      <c r="M401" s="65"/>
      <c r="N401" s="65"/>
      <c r="O401" s="22">
        <f>B401*50%</f>
        <v>1800000</v>
      </c>
      <c r="P401" s="65"/>
      <c r="Q401" s="65"/>
      <c r="R401" s="65"/>
      <c r="S401" s="65"/>
      <c r="T401" s="65"/>
      <c r="U401" s="65"/>
    </row>
    <row r="402" spans="1:21" ht="12.75">
      <c r="A402" s="30" t="s">
        <v>130</v>
      </c>
      <c r="B402" s="121">
        <v>9000000</v>
      </c>
      <c r="C402" s="111">
        <f t="shared" si="29"/>
        <v>9000000</v>
      </c>
      <c r="F402" s="65"/>
      <c r="G402" s="65"/>
      <c r="H402" s="65"/>
      <c r="I402" s="65">
        <f aca="true" t="shared" si="30" ref="I402:I409">B402*50%</f>
        <v>4500000</v>
      </c>
      <c r="J402" s="65"/>
      <c r="K402" s="65"/>
      <c r="L402" s="65"/>
      <c r="M402" s="65"/>
      <c r="N402" s="65"/>
      <c r="O402" s="22">
        <f aca="true" t="shared" si="31" ref="O402:O409">B402*50%</f>
        <v>4500000</v>
      </c>
      <c r="P402" s="65"/>
      <c r="Q402" s="65"/>
      <c r="R402" s="65"/>
      <c r="S402" s="65"/>
      <c r="T402" s="65"/>
      <c r="U402" s="65"/>
    </row>
    <row r="403" spans="1:21" ht="12.75">
      <c r="A403" s="30" t="s">
        <v>132</v>
      </c>
      <c r="B403" s="121">
        <v>450000</v>
      </c>
      <c r="C403" s="111">
        <f t="shared" si="29"/>
        <v>450000</v>
      </c>
      <c r="F403" s="65"/>
      <c r="G403" s="65"/>
      <c r="H403" s="65"/>
      <c r="I403" s="65">
        <f t="shared" si="30"/>
        <v>225000</v>
      </c>
      <c r="J403" s="65"/>
      <c r="K403" s="65"/>
      <c r="L403" s="65"/>
      <c r="M403" s="65"/>
      <c r="N403" s="65"/>
      <c r="O403" s="22">
        <f t="shared" si="31"/>
        <v>225000</v>
      </c>
      <c r="P403" s="65"/>
      <c r="Q403" s="65"/>
      <c r="R403" s="65"/>
      <c r="S403" s="65"/>
      <c r="T403" s="65"/>
      <c r="U403" s="65"/>
    </row>
    <row r="404" spans="1:21" ht="12.75">
      <c r="A404" s="30" t="s">
        <v>131</v>
      </c>
      <c r="B404" s="121"/>
      <c r="C404" s="111">
        <f t="shared" si="29"/>
        <v>0</v>
      </c>
      <c r="F404" s="65"/>
      <c r="G404" s="65"/>
      <c r="H404" s="65"/>
      <c r="I404" s="65">
        <f t="shared" si="30"/>
        <v>0</v>
      </c>
      <c r="J404" s="65"/>
      <c r="K404" s="65"/>
      <c r="L404" s="65"/>
      <c r="M404" s="65"/>
      <c r="N404" s="65"/>
      <c r="O404" s="22">
        <f t="shared" si="31"/>
        <v>0</v>
      </c>
      <c r="P404" s="65"/>
      <c r="Q404" s="65"/>
      <c r="R404" s="65"/>
      <c r="S404" s="65"/>
      <c r="T404" s="65"/>
      <c r="U404" s="65"/>
    </row>
    <row r="405" spans="1:15" ht="12.75">
      <c r="A405" s="31" t="s">
        <v>137</v>
      </c>
      <c r="B405" s="121">
        <v>22500000</v>
      </c>
      <c r="C405" s="111">
        <f t="shared" si="29"/>
        <v>22500000</v>
      </c>
      <c r="I405" s="65">
        <f t="shared" si="30"/>
        <v>11250000</v>
      </c>
      <c r="O405" s="22">
        <f t="shared" si="31"/>
        <v>11250000</v>
      </c>
    </row>
    <row r="406" spans="1:15" ht="12.75">
      <c r="A406" s="31" t="s">
        <v>133</v>
      </c>
      <c r="B406" s="121">
        <v>31500000</v>
      </c>
      <c r="C406" s="111">
        <f t="shared" si="29"/>
        <v>31500000</v>
      </c>
      <c r="I406" s="65">
        <f t="shared" si="30"/>
        <v>15750000</v>
      </c>
      <c r="O406" s="22">
        <f t="shared" si="31"/>
        <v>15750000</v>
      </c>
    </row>
    <row r="407" spans="1:15" ht="12.75">
      <c r="A407" s="31" t="s">
        <v>136</v>
      </c>
      <c r="B407" s="121">
        <v>27000000</v>
      </c>
      <c r="C407" s="111">
        <f t="shared" si="29"/>
        <v>27000000</v>
      </c>
      <c r="I407" s="65">
        <f t="shared" si="30"/>
        <v>13500000</v>
      </c>
      <c r="O407" s="22">
        <f t="shared" si="31"/>
        <v>13500000</v>
      </c>
    </row>
    <row r="408" spans="1:24" s="56" customFormat="1" ht="12.75">
      <c r="A408" s="31" t="s">
        <v>134</v>
      </c>
      <c r="B408" s="121">
        <v>22500000</v>
      </c>
      <c r="C408" s="111">
        <f t="shared" si="29"/>
        <v>22500000</v>
      </c>
      <c r="D408" s="25"/>
      <c r="E408" s="25"/>
      <c r="F408" s="25"/>
      <c r="G408" s="25"/>
      <c r="H408" s="25"/>
      <c r="I408" s="65">
        <f t="shared" si="30"/>
        <v>11250000</v>
      </c>
      <c r="J408" s="25"/>
      <c r="K408" s="25"/>
      <c r="L408" s="25"/>
      <c r="M408" s="25"/>
      <c r="N408" s="25"/>
      <c r="O408" s="22">
        <f t="shared" si="31"/>
        <v>11250000</v>
      </c>
      <c r="P408" s="25"/>
      <c r="Q408" s="25"/>
      <c r="R408" s="25"/>
      <c r="S408" s="25"/>
      <c r="T408" s="25"/>
      <c r="U408" s="25"/>
      <c r="V408" s="19"/>
      <c r="W408" s="19"/>
      <c r="X408" s="19"/>
    </row>
    <row r="409" spans="1:21" s="19" customFormat="1" ht="12.75">
      <c r="A409" s="128" t="s">
        <v>135</v>
      </c>
      <c r="B409" s="122">
        <v>40500000</v>
      </c>
      <c r="C409" s="111">
        <f t="shared" si="29"/>
        <v>40500000</v>
      </c>
      <c r="D409" s="25"/>
      <c r="E409" s="25"/>
      <c r="F409" s="25"/>
      <c r="G409" s="25"/>
      <c r="H409" s="25"/>
      <c r="I409" s="26">
        <f t="shared" si="30"/>
        <v>20250000</v>
      </c>
      <c r="J409" s="25"/>
      <c r="K409" s="25"/>
      <c r="L409" s="25"/>
      <c r="M409" s="25"/>
      <c r="N409" s="25"/>
      <c r="O409" s="24">
        <f t="shared" si="31"/>
        <v>20250000</v>
      </c>
      <c r="P409" s="25"/>
      <c r="Q409" s="25"/>
      <c r="R409" s="25"/>
      <c r="S409" s="25"/>
      <c r="T409" s="25"/>
      <c r="U409" s="25"/>
    </row>
    <row r="410" spans="1:21" s="42" customFormat="1" ht="12.75">
      <c r="A410" s="135" t="s">
        <v>278</v>
      </c>
      <c r="B410" s="136">
        <v>25000000</v>
      </c>
      <c r="C410" s="111">
        <f t="shared" si="29"/>
        <v>25000000</v>
      </c>
      <c r="D410" s="39"/>
      <c r="E410" s="39"/>
      <c r="F410" s="39"/>
      <c r="G410" s="39"/>
      <c r="H410" s="39"/>
      <c r="I410" s="130"/>
      <c r="J410" s="39"/>
      <c r="K410" s="39"/>
      <c r="L410" s="39"/>
      <c r="M410" s="39"/>
      <c r="N410" s="39"/>
      <c r="O410" s="131"/>
      <c r="P410" s="39"/>
      <c r="Q410" s="39"/>
      <c r="R410" s="39"/>
      <c r="S410" s="130">
        <v>25000000</v>
      </c>
      <c r="T410" s="39"/>
      <c r="U410" s="39"/>
    </row>
    <row r="411" spans="1:21" s="19" customFormat="1" ht="12.75">
      <c r="A411" s="128" t="s">
        <v>167</v>
      </c>
      <c r="B411" s="122">
        <f>13000000*12*3</f>
        <v>468000000</v>
      </c>
      <c r="C411" s="111">
        <f t="shared" si="29"/>
        <v>468000000</v>
      </c>
      <c r="D411" s="25"/>
      <c r="E411" s="25"/>
      <c r="F411" s="25"/>
      <c r="G411" s="25"/>
      <c r="H411" s="25"/>
      <c r="I411" s="26">
        <f>B411/3-G411</f>
        <v>156000000</v>
      </c>
      <c r="J411" s="25"/>
      <c r="K411" s="25"/>
      <c r="L411" s="25"/>
      <c r="M411" s="25"/>
      <c r="N411" s="25"/>
      <c r="O411" s="58">
        <f>B411/3</f>
        <v>156000000</v>
      </c>
      <c r="P411" s="25"/>
      <c r="Q411" s="25"/>
      <c r="R411" s="25"/>
      <c r="S411" s="25"/>
      <c r="T411" s="25"/>
      <c r="U411" s="58">
        <f>B411/3</f>
        <v>156000000</v>
      </c>
    </row>
    <row r="412" spans="1:21" s="19" customFormat="1" ht="12.75">
      <c r="A412" s="128" t="s">
        <v>168</v>
      </c>
      <c r="B412" s="122">
        <v>40000000</v>
      </c>
      <c r="C412" s="111">
        <f t="shared" si="29"/>
        <v>40000000</v>
      </c>
      <c r="D412" s="25"/>
      <c r="E412" s="25"/>
      <c r="F412" s="25"/>
      <c r="G412" s="25"/>
      <c r="H412" s="25"/>
      <c r="I412" s="26">
        <f>B412</f>
        <v>40000000</v>
      </c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</row>
    <row r="413" spans="1:3" ht="12.75">
      <c r="A413" s="30"/>
      <c r="B413" s="121"/>
      <c r="C413" s="111">
        <f t="shared" si="29"/>
        <v>0</v>
      </c>
    </row>
    <row r="414" spans="1:3" ht="12.75">
      <c r="A414" s="30" t="s">
        <v>94</v>
      </c>
      <c r="B414" s="121"/>
      <c r="C414" s="111">
        <f t="shared" si="29"/>
        <v>0</v>
      </c>
    </row>
    <row r="415" spans="1:15" ht="12.75">
      <c r="A415" s="30" t="s">
        <v>120</v>
      </c>
      <c r="B415" s="121">
        <v>2000000</v>
      </c>
      <c r="C415" s="111">
        <f t="shared" si="29"/>
        <v>2000000</v>
      </c>
      <c r="I415" s="65">
        <f>B415/2</f>
        <v>1000000</v>
      </c>
      <c r="O415" s="17">
        <f>B415/2</f>
        <v>1000000</v>
      </c>
    </row>
    <row r="416" spans="1:15" ht="12.75">
      <c r="A416" s="30" t="s">
        <v>127</v>
      </c>
      <c r="B416" s="121">
        <v>10000000</v>
      </c>
      <c r="C416" s="111">
        <f t="shared" si="29"/>
        <v>10000000</v>
      </c>
      <c r="I416" s="65">
        <f>B416/2</f>
        <v>5000000</v>
      </c>
      <c r="O416" s="17">
        <f>B416/2</f>
        <v>5000000</v>
      </c>
    </row>
    <row r="417" spans="1:9" ht="12.75">
      <c r="A417" s="30" t="s">
        <v>126</v>
      </c>
      <c r="B417" s="121">
        <v>12000000</v>
      </c>
      <c r="C417" s="111">
        <f t="shared" si="29"/>
        <v>12000000</v>
      </c>
      <c r="E417" s="25"/>
      <c r="F417" s="53"/>
      <c r="G417" s="53"/>
      <c r="H417" s="25"/>
      <c r="I417" s="65">
        <f>B417</f>
        <v>12000000</v>
      </c>
    </row>
    <row r="418" spans="1:15" ht="12.75">
      <c r="A418" s="30" t="s">
        <v>128</v>
      </c>
      <c r="B418" s="122">
        <v>1000000</v>
      </c>
      <c r="C418" s="111">
        <f t="shared" si="29"/>
        <v>1000000</v>
      </c>
      <c r="O418" s="44">
        <v>1000000</v>
      </c>
    </row>
    <row r="419" spans="1:21" s="90" customFormat="1" ht="12.75">
      <c r="A419" s="49" t="s">
        <v>145</v>
      </c>
      <c r="B419" s="89">
        <f>SUM(B401:B418)</f>
        <v>715050000</v>
      </c>
      <c r="C419" s="89">
        <f>SUM(D419:U419)</f>
        <v>715050000</v>
      </c>
      <c r="D419" s="18"/>
      <c r="E419" s="18"/>
      <c r="F419" s="51"/>
      <c r="G419" s="89">
        <f aca="true" t="shared" si="32" ref="G419:U419">SUM(G401:G418)</f>
        <v>0</v>
      </c>
      <c r="H419" s="89">
        <f t="shared" si="32"/>
        <v>0</v>
      </c>
      <c r="I419" s="89">
        <f t="shared" si="32"/>
        <v>292525000</v>
      </c>
      <c r="J419" s="89">
        <f t="shared" si="32"/>
        <v>0</v>
      </c>
      <c r="K419" s="89">
        <f t="shared" si="32"/>
        <v>0</v>
      </c>
      <c r="L419" s="89">
        <f t="shared" si="32"/>
        <v>0</v>
      </c>
      <c r="M419" s="89">
        <f t="shared" si="32"/>
        <v>0</v>
      </c>
      <c r="N419" s="89">
        <f t="shared" si="32"/>
        <v>0</v>
      </c>
      <c r="O419" s="89">
        <f t="shared" si="32"/>
        <v>241525000</v>
      </c>
      <c r="P419" s="89">
        <f t="shared" si="32"/>
        <v>0</v>
      </c>
      <c r="Q419" s="89">
        <f t="shared" si="32"/>
        <v>0</v>
      </c>
      <c r="R419" s="89">
        <f t="shared" si="32"/>
        <v>0</v>
      </c>
      <c r="S419" s="89">
        <f t="shared" si="32"/>
        <v>25000000</v>
      </c>
      <c r="T419" s="89">
        <f t="shared" si="32"/>
        <v>0</v>
      </c>
      <c r="U419" s="89">
        <f t="shared" si="32"/>
        <v>156000000</v>
      </c>
    </row>
    <row r="420" spans="1:3" ht="12.75">
      <c r="A420" s="30"/>
      <c r="B420" s="122"/>
      <c r="C420" s="122"/>
    </row>
    <row r="421" spans="1:3" ht="38.25">
      <c r="A421" s="29" t="s">
        <v>104</v>
      </c>
      <c r="B421" s="122"/>
      <c r="C421" s="122"/>
    </row>
    <row r="422" spans="1:3" ht="12.75">
      <c r="A422" s="30" t="s">
        <v>93</v>
      </c>
      <c r="B422" s="122"/>
      <c r="C422" s="122"/>
    </row>
    <row r="423" spans="1:15" ht="12.75">
      <c r="A423" s="30" t="s">
        <v>140</v>
      </c>
      <c r="B423" s="122">
        <v>36000000</v>
      </c>
      <c r="C423" s="111">
        <f aca="true" t="shared" si="33" ref="C423:C433">SUM(D423:U423)</f>
        <v>41000000</v>
      </c>
      <c r="E423" s="65">
        <v>5000000</v>
      </c>
      <c r="I423" s="65">
        <f>B423*50%-M423</f>
        <v>3000000</v>
      </c>
      <c r="M423" s="65">
        <v>15000000</v>
      </c>
      <c r="O423" s="17">
        <f>B423*50%</f>
        <v>18000000</v>
      </c>
    </row>
    <row r="424" spans="1:15" ht="12.75">
      <c r="A424" s="30" t="s">
        <v>138</v>
      </c>
      <c r="B424" s="122">
        <v>15000000</v>
      </c>
      <c r="C424" s="111">
        <f t="shared" si="33"/>
        <v>20000000</v>
      </c>
      <c r="E424" s="65">
        <v>5000000</v>
      </c>
      <c r="I424" s="65">
        <f>B424*50%-M424</f>
        <v>2500000</v>
      </c>
      <c r="M424" s="65">
        <v>5000000</v>
      </c>
      <c r="O424" s="17">
        <f aca="true" t="shared" si="34" ref="O424:O432">B424*50%</f>
        <v>7500000</v>
      </c>
    </row>
    <row r="425" spans="1:15" ht="12.75">
      <c r="A425" s="30" t="s">
        <v>132</v>
      </c>
      <c r="B425" s="122">
        <v>31500000</v>
      </c>
      <c r="C425" s="111">
        <f t="shared" si="33"/>
        <v>31500000</v>
      </c>
      <c r="E425" s="65"/>
      <c r="I425" s="65">
        <f>B425*50%</f>
        <v>15750000</v>
      </c>
      <c r="M425" s="65"/>
      <c r="O425" s="17">
        <f t="shared" si="34"/>
        <v>15750000</v>
      </c>
    </row>
    <row r="426" spans="1:15" ht="12.75">
      <c r="A426" s="30" t="s">
        <v>139</v>
      </c>
      <c r="B426" s="122">
        <v>12000000</v>
      </c>
      <c r="C426" s="111">
        <f t="shared" si="33"/>
        <v>12000000</v>
      </c>
      <c r="E426" s="65"/>
      <c r="I426" s="65">
        <f>B426*50%-M426</f>
        <v>1000000</v>
      </c>
      <c r="M426" s="65">
        <v>5000000</v>
      </c>
      <c r="O426" s="17">
        <f t="shared" si="34"/>
        <v>6000000</v>
      </c>
    </row>
    <row r="427" spans="1:15" ht="12.75">
      <c r="A427" s="30" t="s">
        <v>178</v>
      </c>
      <c r="B427" s="122">
        <v>20250000</v>
      </c>
      <c r="C427" s="111">
        <f t="shared" si="33"/>
        <v>25250000</v>
      </c>
      <c r="E427" s="65">
        <v>5000000</v>
      </c>
      <c r="I427" s="65">
        <f>B427*50%-M427</f>
        <v>125000</v>
      </c>
      <c r="M427" s="65">
        <v>10000000</v>
      </c>
      <c r="O427" s="17">
        <f t="shared" si="34"/>
        <v>10125000</v>
      </c>
    </row>
    <row r="428" spans="1:15" ht="12.75">
      <c r="A428" s="30" t="s">
        <v>179</v>
      </c>
      <c r="B428" s="122">
        <v>14400000</v>
      </c>
      <c r="C428" s="111">
        <f t="shared" si="33"/>
        <v>14400000</v>
      </c>
      <c r="E428" s="65"/>
      <c r="I428" s="65">
        <f>B428*50%-M428</f>
        <v>2200000</v>
      </c>
      <c r="M428" s="65">
        <v>5000000</v>
      </c>
      <c r="O428" s="17">
        <f t="shared" si="34"/>
        <v>7200000</v>
      </c>
    </row>
    <row r="429" spans="1:15" ht="12.75">
      <c r="A429" s="30" t="s">
        <v>181</v>
      </c>
      <c r="B429" s="122">
        <v>10000000</v>
      </c>
      <c r="C429" s="111">
        <f t="shared" si="33"/>
        <v>10000000</v>
      </c>
      <c r="E429" s="65"/>
      <c r="I429" s="65">
        <f>B429-M429</f>
        <v>5000000</v>
      </c>
      <c r="M429" s="65">
        <v>5000000</v>
      </c>
      <c r="O429" s="17"/>
    </row>
    <row r="430" spans="1:15" ht="12.75">
      <c r="A430" s="30" t="s">
        <v>94</v>
      </c>
      <c r="B430" s="122"/>
      <c r="C430" s="111">
        <f t="shared" si="33"/>
        <v>0</v>
      </c>
      <c r="E430" s="65"/>
      <c r="I430" s="65">
        <f>B430*50%</f>
        <v>0</v>
      </c>
      <c r="M430" s="65"/>
      <c r="O430" s="17">
        <f t="shared" si="34"/>
        <v>0</v>
      </c>
    </row>
    <row r="431" spans="1:15" ht="12.75">
      <c r="A431" s="30" t="s">
        <v>141</v>
      </c>
      <c r="B431" s="122">
        <v>10000000</v>
      </c>
      <c r="C431" s="111">
        <f t="shared" si="33"/>
        <v>10000000</v>
      </c>
      <c r="E431" s="65"/>
      <c r="I431" s="65">
        <f>B431*50%-M431</f>
        <v>0</v>
      </c>
      <c r="M431" s="65">
        <v>5000000</v>
      </c>
      <c r="O431" s="17">
        <f t="shared" si="34"/>
        <v>5000000</v>
      </c>
    </row>
    <row r="432" spans="1:15" ht="12.75">
      <c r="A432" s="30" t="s">
        <v>125</v>
      </c>
      <c r="B432" s="122">
        <v>10000000</v>
      </c>
      <c r="C432" s="111">
        <f t="shared" si="33"/>
        <v>10000000</v>
      </c>
      <c r="E432" s="65"/>
      <c r="I432" s="65">
        <f>B432*50%</f>
        <v>5000000</v>
      </c>
      <c r="M432" s="65"/>
      <c r="O432" s="17">
        <f t="shared" si="34"/>
        <v>5000000</v>
      </c>
    </row>
    <row r="433" spans="1:15" ht="12.75">
      <c r="A433" s="30" t="s">
        <v>180</v>
      </c>
      <c r="B433" s="122">
        <v>1000000</v>
      </c>
      <c r="C433" s="111">
        <f t="shared" si="33"/>
        <v>1000000</v>
      </c>
      <c r="E433" s="65"/>
      <c r="M433" s="65"/>
      <c r="O433" s="44">
        <v>1000000</v>
      </c>
    </row>
    <row r="434" spans="1:21" s="90" customFormat="1" ht="12.75">
      <c r="A434" s="49" t="s">
        <v>146</v>
      </c>
      <c r="B434" s="89">
        <f>SUM(B423:B433)</f>
        <v>160150000</v>
      </c>
      <c r="C434" s="89">
        <f>SUM(D434:U434)</f>
        <v>175150000</v>
      </c>
      <c r="D434" s="18"/>
      <c r="E434" s="89">
        <f>SUM(E423:E433)</f>
        <v>15000000</v>
      </c>
      <c r="F434" s="18"/>
      <c r="G434" s="89">
        <f aca="true" t="shared" si="35" ref="G434:U434">SUM(G423:G433)</f>
        <v>0</v>
      </c>
      <c r="H434" s="89">
        <f t="shared" si="35"/>
        <v>0</v>
      </c>
      <c r="I434" s="89">
        <f t="shared" si="35"/>
        <v>34575000</v>
      </c>
      <c r="J434" s="89">
        <f t="shared" si="35"/>
        <v>0</v>
      </c>
      <c r="K434" s="89">
        <f t="shared" si="35"/>
        <v>0</v>
      </c>
      <c r="L434" s="89">
        <f t="shared" si="35"/>
        <v>0</v>
      </c>
      <c r="M434" s="89">
        <f t="shared" si="35"/>
        <v>50000000</v>
      </c>
      <c r="N434" s="89">
        <f t="shared" si="35"/>
        <v>0</v>
      </c>
      <c r="O434" s="89">
        <f t="shared" si="35"/>
        <v>75575000</v>
      </c>
      <c r="P434" s="89">
        <f t="shared" si="35"/>
        <v>0</v>
      </c>
      <c r="Q434" s="89">
        <f t="shared" si="35"/>
        <v>0</v>
      </c>
      <c r="R434" s="89">
        <f t="shared" si="35"/>
        <v>0</v>
      </c>
      <c r="S434" s="89">
        <f t="shared" si="35"/>
        <v>0</v>
      </c>
      <c r="T434" s="89">
        <f t="shared" si="35"/>
        <v>0</v>
      </c>
      <c r="U434" s="89">
        <f t="shared" si="35"/>
        <v>0</v>
      </c>
    </row>
    <row r="435" spans="1:21" s="69" customFormat="1" ht="12.75">
      <c r="A435" s="67" t="s">
        <v>212</v>
      </c>
      <c r="B435" s="123">
        <f>B365+B384+B397+B419+B434</f>
        <v>1689950000</v>
      </c>
      <c r="C435" s="123">
        <f>SUM(D435:U435)</f>
        <v>1773950000.047619</v>
      </c>
      <c r="D435" s="68"/>
      <c r="E435" s="123">
        <f>E365+E384+E397+E419+E434</f>
        <v>60000000</v>
      </c>
      <c r="F435" s="68"/>
      <c r="G435" s="123">
        <f aca="true" t="shared" si="36" ref="G435:U435">G365+G384+G397+G419+G434</f>
        <v>50000000</v>
      </c>
      <c r="H435" s="123">
        <f t="shared" si="36"/>
        <v>0</v>
      </c>
      <c r="I435" s="123">
        <f t="shared" si="36"/>
        <v>714621428.6190476</v>
      </c>
      <c r="J435" s="123">
        <f t="shared" si="36"/>
        <v>0</v>
      </c>
      <c r="K435" s="123">
        <f t="shared" si="36"/>
        <v>50000000</v>
      </c>
      <c r="L435" s="123">
        <f t="shared" si="36"/>
        <v>0</v>
      </c>
      <c r="M435" s="123">
        <f t="shared" si="36"/>
        <v>100000000</v>
      </c>
      <c r="N435" s="123">
        <f t="shared" si="36"/>
        <v>0</v>
      </c>
      <c r="O435" s="123">
        <f t="shared" si="36"/>
        <v>476300000</v>
      </c>
      <c r="P435" s="123">
        <f t="shared" si="36"/>
        <v>0</v>
      </c>
      <c r="Q435" s="123">
        <f t="shared" si="36"/>
        <v>0</v>
      </c>
      <c r="R435" s="123">
        <f t="shared" si="36"/>
        <v>0</v>
      </c>
      <c r="S435" s="123">
        <f t="shared" si="36"/>
        <v>75000000</v>
      </c>
      <c r="T435" s="123">
        <f t="shared" si="36"/>
        <v>0</v>
      </c>
      <c r="U435" s="123">
        <f t="shared" si="36"/>
        <v>248028571.42857143</v>
      </c>
    </row>
    <row r="436" spans="1:3" ht="12.75">
      <c r="A436" s="27"/>
      <c r="B436" s="26"/>
      <c r="C436" s="26"/>
    </row>
    <row r="437" spans="1:15" ht="12.75">
      <c r="A437" s="86" t="s">
        <v>216</v>
      </c>
      <c r="B437" s="26"/>
      <c r="C437" s="26"/>
      <c r="O437" s="17"/>
    </row>
    <row r="438" spans="1:15" ht="12.75">
      <c r="A438" s="86" t="s">
        <v>89</v>
      </c>
      <c r="B438" s="26"/>
      <c r="C438" s="26"/>
      <c r="E438" s="65"/>
      <c r="O438" s="17"/>
    </row>
    <row r="439" spans="1:21" ht="12.75">
      <c r="A439" s="3" t="s">
        <v>6</v>
      </c>
      <c r="B439" s="113">
        <v>60000000</v>
      </c>
      <c r="C439" s="127">
        <f aca="true" t="shared" si="37" ref="C439:C449">SUM(D439:U439)</f>
        <v>60000000</v>
      </c>
      <c r="E439" s="65"/>
      <c r="I439" s="113"/>
      <c r="K439" s="65"/>
      <c r="O439" s="6">
        <f>B439*50%</f>
        <v>30000000</v>
      </c>
      <c r="U439" s="6">
        <f>B439*50%</f>
        <v>30000000</v>
      </c>
    </row>
    <row r="440" spans="1:21" ht="12.75">
      <c r="A440" s="3" t="s">
        <v>7</v>
      </c>
      <c r="B440" s="113">
        <v>8100000</v>
      </c>
      <c r="C440" s="127">
        <f t="shared" si="37"/>
        <v>8100000</v>
      </c>
      <c r="E440" s="65"/>
      <c r="I440" s="113"/>
      <c r="K440" s="65"/>
      <c r="O440" s="6">
        <f>B440*50%</f>
        <v>4050000</v>
      </c>
      <c r="U440" s="6">
        <f>B440*50%</f>
        <v>4050000</v>
      </c>
    </row>
    <row r="441" spans="1:21" ht="12.75">
      <c r="A441" s="3" t="s">
        <v>8</v>
      </c>
      <c r="B441" s="113">
        <v>10000000</v>
      </c>
      <c r="C441" s="127">
        <f t="shared" si="37"/>
        <v>10000000</v>
      </c>
      <c r="E441" s="65"/>
      <c r="G441" s="11"/>
      <c r="I441" s="113"/>
      <c r="K441" s="65"/>
      <c r="O441" s="6">
        <f>B441*50%</f>
        <v>5000000</v>
      </c>
      <c r="U441" s="6">
        <f>B441*50%</f>
        <v>5000000</v>
      </c>
    </row>
    <row r="442" spans="1:21" ht="12.75">
      <c r="A442" s="3" t="s">
        <v>5</v>
      </c>
      <c r="B442" s="113">
        <v>50000000</v>
      </c>
      <c r="C442" s="127">
        <f t="shared" si="37"/>
        <v>125000000</v>
      </c>
      <c r="E442" s="65">
        <v>25000000</v>
      </c>
      <c r="I442" s="113"/>
      <c r="K442" s="65">
        <v>50000000</v>
      </c>
      <c r="O442" s="6">
        <f>B442*50%</f>
        <v>25000000</v>
      </c>
      <c r="U442" s="6">
        <f>B442*50%</f>
        <v>25000000</v>
      </c>
    </row>
    <row r="443" spans="1:15" ht="12.75">
      <c r="A443" s="3" t="s">
        <v>9</v>
      </c>
      <c r="B443" s="113"/>
      <c r="C443" s="127">
        <f t="shared" si="37"/>
        <v>0</v>
      </c>
      <c r="E443" s="65"/>
      <c r="K443" s="65"/>
      <c r="O443" s="17"/>
    </row>
    <row r="444" spans="1:21" ht="12.75">
      <c r="A444" s="7" t="s">
        <v>10</v>
      </c>
      <c r="B444" s="113">
        <f>2*32000000</f>
        <v>64000000</v>
      </c>
      <c r="C444" s="127">
        <f t="shared" si="37"/>
        <v>64000000</v>
      </c>
      <c r="E444" s="65"/>
      <c r="K444" s="65"/>
      <c r="O444" s="17">
        <f>(B444-K444)/2</f>
        <v>32000000</v>
      </c>
      <c r="U444" s="17">
        <f>(B444-K444)/2</f>
        <v>32000000</v>
      </c>
    </row>
    <row r="445" spans="1:21" ht="12.75">
      <c r="A445" s="7" t="s">
        <v>11</v>
      </c>
      <c r="B445" s="113">
        <f>2*12000000</f>
        <v>24000000</v>
      </c>
      <c r="C445" s="127">
        <f t="shared" si="37"/>
        <v>24000000</v>
      </c>
      <c r="E445" s="65"/>
      <c r="K445" s="65"/>
      <c r="O445" s="17">
        <f>(B445-K445)/2</f>
        <v>12000000</v>
      </c>
      <c r="U445" s="17">
        <f>(B445-K445)/2</f>
        <v>12000000</v>
      </c>
    </row>
    <row r="446" spans="1:21" ht="12.75">
      <c r="A446" s="7" t="s">
        <v>12</v>
      </c>
      <c r="B446" s="113">
        <f>2*5000000</f>
        <v>10000000</v>
      </c>
      <c r="C446" s="127">
        <f t="shared" si="37"/>
        <v>15000000</v>
      </c>
      <c r="E446" s="65">
        <v>5000000</v>
      </c>
      <c r="K446" s="65">
        <v>5000000</v>
      </c>
      <c r="O446" s="17">
        <f>(B446-K446)/2</f>
        <v>2500000</v>
      </c>
      <c r="U446" s="17">
        <f>(B446-K446)/2</f>
        <v>2500000</v>
      </c>
    </row>
    <row r="447" spans="1:21" ht="12.75">
      <c r="A447" s="7" t="s">
        <v>29</v>
      </c>
      <c r="B447" s="113">
        <v>24000000</v>
      </c>
      <c r="C447" s="127">
        <f t="shared" si="37"/>
        <v>24000000</v>
      </c>
      <c r="E447" s="65"/>
      <c r="O447" s="17">
        <f>B447/2</f>
        <v>12000000</v>
      </c>
      <c r="U447" s="17">
        <f>(B447-K447)/2</f>
        <v>12000000</v>
      </c>
    </row>
    <row r="448" spans="1:21" ht="12.75">
      <c r="A448" s="7" t="s">
        <v>32</v>
      </c>
      <c r="B448" s="113">
        <v>40000000</v>
      </c>
      <c r="C448" s="127">
        <f t="shared" si="37"/>
        <v>77500000</v>
      </c>
      <c r="E448" s="65">
        <f>25000000</f>
        <v>25000000</v>
      </c>
      <c r="K448" s="57">
        <v>25000000</v>
      </c>
      <c r="L448" s="53"/>
      <c r="M448" s="58"/>
      <c r="N448" s="25"/>
      <c r="O448" s="17">
        <f>B448/2</f>
        <v>20000000</v>
      </c>
      <c r="P448" s="25"/>
      <c r="Q448" s="59"/>
      <c r="R448" s="59"/>
      <c r="S448" s="58"/>
      <c r="T448" s="25"/>
      <c r="U448" s="17">
        <f>(B448-K448)/2</f>
        <v>7500000</v>
      </c>
    </row>
    <row r="449" spans="1:21" ht="12.75">
      <c r="A449" s="7" t="s">
        <v>28</v>
      </c>
      <c r="B449" s="113">
        <v>2000000</v>
      </c>
      <c r="C449" s="127">
        <f t="shared" si="37"/>
        <v>2000000</v>
      </c>
      <c r="E449" s="65"/>
      <c r="U449" s="2">
        <v>2000000</v>
      </c>
    </row>
    <row r="450" spans="1:21" s="90" customFormat="1" ht="12.75">
      <c r="A450" s="33" t="s">
        <v>147</v>
      </c>
      <c r="B450" s="110">
        <f>SUM(B439:B449)</f>
        <v>292100000</v>
      </c>
      <c r="C450" s="110">
        <f>SUM(D450:U450)</f>
        <v>409600000</v>
      </c>
      <c r="D450" s="18"/>
      <c r="E450" s="110">
        <f aca="true" t="shared" si="38" ref="E450:U450">SUM(E439:E449)</f>
        <v>55000000</v>
      </c>
      <c r="F450" s="110">
        <f t="shared" si="38"/>
        <v>0</v>
      </c>
      <c r="G450" s="110">
        <f t="shared" si="38"/>
        <v>0</v>
      </c>
      <c r="H450" s="110">
        <f t="shared" si="38"/>
        <v>0</v>
      </c>
      <c r="I450" s="110">
        <f t="shared" si="38"/>
        <v>0</v>
      </c>
      <c r="J450" s="110">
        <f t="shared" si="38"/>
        <v>0</v>
      </c>
      <c r="K450" s="110">
        <f t="shared" si="38"/>
        <v>80000000</v>
      </c>
      <c r="L450" s="110">
        <f t="shared" si="38"/>
        <v>0</v>
      </c>
      <c r="M450" s="110">
        <f t="shared" si="38"/>
        <v>0</v>
      </c>
      <c r="N450" s="110">
        <f t="shared" si="38"/>
        <v>0</v>
      </c>
      <c r="O450" s="110">
        <f t="shared" si="38"/>
        <v>142550000</v>
      </c>
      <c r="P450" s="110">
        <f t="shared" si="38"/>
        <v>0</v>
      </c>
      <c r="Q450" s="110">
        <f t="shared" si="38"/>
        <v>0</v>
      </c>
      <c r="R450" s="110">
        <f t="shared" si="38"/>
        <v>0</v>
      </c>
      <c r="S450" s="110">
        <f t="shared" si="38"/>
        <v>0</v>
      </c>
      <c r="T450" s="110">
        <f t="shared" si="38"/>
        <v>0</v>
      </c>
      <c r="U450" s="110">
        <f t="shared" si="38"/>
        <v>132050000</v>
      </c>
    </row>
    <row r="451" spans="1:3" ht="12.75">
      <c r="A451" s="52"/>
      <c r="B451" s="124"/>
      <c r="C451" s="124"/>
    </row>
    <row r="452" ht="12.75">
      <c r="A452" s="47" t="s">
        <v>90</v>
      </c>
    </row>
    <row r="453" spans="1:21" ht="14.25" customHeight="1">
      <c r="A453" s="3" t="s">
        <v>13</v>
      </c>
      <c r="B453" s="113">
        <v>30000000</v>
      </c>
      <c r="C453" s="127">
        <f aca="true" t="shared" si="39" ref="C453:C478">SUM(K453:U453)</f>
        <v>30000000</v>
      </c>
      <c r="O453" s="6">
        <f>B453/2</f>
        <v>15000000</v>
      </c>
      <c r="U453" s="6">
        <f>B453/2</f>
        <v>15000000</v>
      </c>
    </row>
    <row r="454" spans="1:21" ht="12.75">
      <c r="A454" s="3" t="s">
        <v>14</v>
      </c>
      <c r="B454" s="113">
        <v>30000000</v>
      </c>
      <c r="C454" s="127">
        <f t="shared" si="39"/>
        <v>30000000</v>
      </c>
      <c r="O454" s="6">
        <f>B454/2</f>
        <v>15000000</v>
      </c>
      <c r="U454" s="6">
        <f>B454/2</f>
        <v>15000000</v>
      </c>
    </row>
    <row r="455" spans="1:21" s="42" customFormat="1" ht="12.75">
      <c r="A455" s="41" t="s">
        <v>356</v>
      </c>
      <c r="B455" s="137">
        <v>30000000</v>
      </c>
      <c r="C455" s="127">
        <f>SUM(H455:U455)</f>
        <v>30000000</v>
      </c>
      <c r="D455" s="39"/>
      <c r="E455" s="39"/>
      <c r="F455" s="39"/>
      <c r="G455" s="39"/>
      <c r="H455" s="130">
        <v>30000000</v>
      </c>
      <c r="I455" s="130"/>
      <c r="J455" s="39"/>
      <c r="K455" s="39"/>
      <c r="L455" s="39"/>
      <c r="M455" s="39"/>
      <c r="N455" s="39"/>
      <c r="O455" s="139"/>
      <c r="P455" s="39"/>
      <c r="Q455" s="39"/>
      <c r="R455" s="39"/>
      <c r="S455" s="39"/>
      <c r="T455" s="39"/>
      <c r="U455" s="139"/>
    </row>
    <row r="456" spans="1:21" ht="12.75">
      <c r="A456" s="13" t="s">
        <v>41</v>
      </c>
      <c r="B456" s="113">
        <v>24000000</v>
      </c>
      <c r="C456" s="127">
        <f t="shared" si="39"/>
        <v>24000000</v>
      </c>
      <c r="K456" s="65">
        <v>10000000</v>
      </c>
      <c r="O456" s="6">
        <f>2000000</f>
        <v>2000000</v>
      </c>
      <c r="U456" s="6">
        <f>B456/2</f>
        <v>12000000</v>
      </c>
    </row>
    <row r="457" spans="1:21" ht="12.75">
      <c r="A457" s="3" t="s">
        <v>15</v>
      </c>
      <c r="B457" s="113">
        <v>2700000</v>
      </c>
      <c r="C457" s="127">
        <f t="shared" si="39"/>
        <v>2700000</v>
      </c>
      <c r="O457" s="6">
        <f>B457/2</f>
        <v>1350000</v>
      </c>
      <c r="U457" s="6">
        <f>B457/2</f>
        <v>1350000</v>
      </c>
    </row>
    <row r="458" spans="1:21" ht="12.75">
      <c r="A458" s="3" t="s">
        <v>8</v>
      </c>
      <c r="B458" s="113">
        <v>10000000</v>
      </c>
      <c r="C458" s="127">
        <f t="shared" si="39"/>
        <v>10000000</v>
      </c>
      <c r="O458" s="6">
        <f>B458/2</f>
        <v>5000000</v>
      </c>
      <c r="U458" s="6">
        <f>B458/2</f>
        <v>5000000</v>
      </c>
    </row>
    <row r="459" spans="1:15" ht="12.75">
      <c r="A459" s="16" t="s">
        <v>166</v>
      </c>
      <c r="B459" s="113">
        <v>400000000</v>
      </c>
      <c r="C459" s="127">
        <f t="shared" si="39"/>
        <v>400000000</v>
      </c>
      <c r="O459" s="17">
        <f>B459</f>
        <v>400000000</v>
      </c>
    </row>
    <row r="460" spans="1:15" ht="12.75">
      <c r="A460" s="208" t="s">
        <v>476</v>
      </c>
      <c r="B460" s="207">
        <v>20000000</v>
      </c>
      <c r="C460" s="127"/>
      <c r="F460" s="207">
        <v>20000000</v>
      </c>
      <c r="O460" s="17"/>
    </row>
    <row r="461" spans="1:20" ht="12.75">
      <c r="A461" s="3" t="s">
        <v>16</v>
      </c>
      <c r="B461" s="113">
        <v>40000000</v>
      </c>
      <c r="C461" s="127">
        <f t="shared" si="39"/>
        <v>43750000</v>
      </c>
      <c r="K461" s="17">
        <f>B461/8+6250000</f>
        <v>11250000</v>
      </c>
      <c r="L461" s="17">
        <f>B461/8</f>
        <v>5000000</v>
      </c>
      <c r="M461" s="17">
        <f>B461/8</f>
        <v>5000000</v>
      </c>
      <c r="N461" s="17">
        <f>B461/8</f>
        <v>5000000</v>
      </c>
      <c r="Q461" s="17">
        <f>B461/8</f>
        <v>5000000</v>
      </c>
      <c r="R461" s="17">
        <f>B461/8</f>
        <v>5000000</v>
      </c>
      <c r="S461" s="17">
        <f>B461/8</f>
        <v>5000000</v>
      </c>
      <c r="T461" s="17">
        <f>2500000</f>
        <v>2500000</v>
      </c>
    </row>
    <row r="462" spans="1:20" ht="12.75">
      <c r="A462" s="3" t="s">
        <v>17</v>
      </c>
      <c r="B462" s="113">
        <v>30000000</v>
      </c>
      <c r="C462" s="127">
        <f t="shared" si="39"/>
        <v>22500000</v>
      </c>
      <c r="K462" s="17">
        <f>B462/8</f>
        <v>3750000</v>
      </c>
      <c r="L462" s="17">
        <f>B462/8</f>
        <v>3750000</v>
      </c>
      <c r="M462" s="17">
        <f>B462/8</f>
        <v>3750000</v>
      </c>
      <c r="N462" s="17"/>
      <c r="Q462" s="17">
        <f>B462/8</f>
        <v>3750000</v>
      </c>
      <c r="R462" s="17">
        <f>B462/8</f>
        <v>3750000</v>
      </c>
      <c r="S462" s="17">
        <f>B462/8</f>
        <v>3750000</v>
      </c>
      <c r="T462" s="17"/>
    </row>
    <row r="463" spans="1:21" ht="12.75">
      <c r="A463" s="3" t="s">
        <v>26</v>
      </c>
      <c r="B463" s="113">
        <v>20000000</v>
      </c>
      <c r="C463" s="127">
        <f t="shared" si="39"/>
        <v>20000000</v>
      </c>
      <c r="O463" s="17">
        <f>B463/2</f>
        <v>10000000</v>
      </c>
      <c r="U463" s="17">
        <f>B463/2</f>
        <v>10000000</v>
      </c>
    </row>
    <row r="464" spans="1:3" ht="12.75">
      <c r="A464" s="3" t="s">
        <v>19</v>
      </c>
      <c r="B464" s="113"/>
      <c r="C464" s="127"/>
    </row>
    <row r="465" spans="1:20" ht="12.75">
      <c r="A465" s="7" t="s">
        <v>44</v>
      </c>
      <c r="B465" s="113">
        <v>80000000</v>
      </c>
      <c r="C465" s="127">
        <f t="shared" si="39"/>
        <v>40000000</v>
      </c>
      <c r="K465" s="17"/>
      <c r="L465" s="17">
        <f>B465/8</f>
        <v>10000000</v>
      </c>
      <c r="M465" s="17">
        <f>B465/8</f>
        <v>10000000</v>
      </c>
      <c r="N465" s="17"/>
      <c r="Q465" s="17"/>
      <c r="R465" s="17">
        <f>B465/8</f>
        <v>10000000</v>
      </c>
      <c r="S465" s="17">
        <f>B465/8</f>
        <v>10000000</v>
      </c>
      <c r="T465" s="17"/>
    </row>
    <row r="466" spans="1:20" ht="12.75">
      <c r="A466" s="7" t="s">
        <v>45</v>
      </c>
      <c r="B466" s="113">
        <v>88000000</v>
      </c>
      <c r="C466" s="127">
        <f t="shared" si="39"/>
        <v>55000000</v>
      </c>
      <c r="K466" s="17"/>
      <c r="L466" s="17">
        <f aca="true" t="shared" si="40" ref="L466:L475">B466/8</f>
        <v>11000000</v>
      </c>
      <c r="M466" s="17">
        <f aca="true" t="shared" si="41" ref="M466:M475">B466/8</f>
        <v>11000000</v>
      </c>
      <c r="N466" s="17"/>
      <c r="Q466" s="17">
        <f aca="true" t="shared" si="42" ref="Q466:Q475">B466/8</f>
        <v>11000000</v>
      </c>
      <c r="R466" s="17">
        <f aca="true" t="shared" si="43" ref="R466:R475">B466/8</f>
        <v>11000000</v>
      </c>
      <c r="S466" s="17">
        <f aca="true" t="shared" si="44" ref="S466:S475">B466/8</f>
        <v>11000000</v>
      </c>
      <c r="T466" s="17"/>
    </row>
    <row r="467" spans="1:20" ht="12.75">
      <c r="A467" s="7" t="s">
        <v>46</v>
      </c>
      <c r="B467" s="113">
        <v>80000000</v>
      </c>
      <c r="C467" s="127">
        <f t="shared" si="39"/>
        <v>40000000</v>
      </c>
      <c r="K467" s="17"/>
      <c r="L467" s="17">
        <f t="shared" si="40"/>
        <v>10000000</v>
      </c>
      <c r="M467" s="17">
        <f t="shared" si="41"/>
        <v>10000000</v>
      </c>
      <c r="N467" s="17"/>
      <c r="Q467" s="17"/>
      <c r="R467" s="17">
        <f t="shared" si="43"/>
        <v>10000000</v>
      </c>
      <c r="S467" s="17">
        <f t="shared" si="44"/>
        <v>10000000</v>
      </c>
      <c r="T467" s="17"/>
    </row>
    <row r="468" spans="1:20" ht="12.75">
      <c r="A468" s="7" t="s">
        <v>47</v>
      </c>
      <c r="B468" s="113">
        <v>70000000</v>
      </c>
      <c r="C468" s="127">
        <f t="shared" si="39"/>
        <v>43750000</v>
      </c>
      <c r="K468" s="17"/>
      <c r="L468" s="17">
        <f t="shared" si="40"/>
        <v>8750000</v>
      </c>
      <c r="M468" s="17">
        <f t="shared" si="41"/>
        <v>8750000</v>
      </c>
      <c r="N468" s="17"/>
      <c r="Q468" s="17">
        <f t="shared" si="42"/>
        <v>8750000</v>
      </c>
      <c r="R468" s="17">
        <f t="shared" si="43"/>
        <v>8750000</v>
      </c>
      <c r="S468" s="17">
        <f t="shared" si="44"/>
        <v>8750000</v>
      </c>
      <c r="T468" s="17"/>
    </row>
    <row r="469" spans="1:20" ht="12.75">
      <c r="A469" s="7" t="s">
        <v>48</v>
      </c>
      <c r="B469" s="113">
        <v>20300000</v>
      </c>
      <c r="C469" s="127">
        <f t="shared" si="39"/>
        <v>16650000</v>
      </c>
      <c r="K469" s="17"/>
      <c r="L469" s="17">
        <f t="shared" si="40"/>
        <v>2537500</v>
      </c>
      <c r="M469" s="17">
        <f t="shared" si="41"/>
        <v>2537500</v>
      </c>
      <c r="N469" s="17"/>
      <c r="Q469" s="17">
        <f>B469/8+3962500</f>
        <v>6500000</v>
      </c>
      <c r="R469" s="17">
        <f t="shared" si="43"/>
        <v>2537500</v>
      </c>
      <c r="S469" s="17">
        <f t="shared" si="44"/>
        <v>2537500</v>
      </c>
      <c r="T469" s="17"/>
    </row>
    <row r="470" spans="1:20" ht="12.75">
      <c r="A470" s="3" t="s">
        <v>20</v>
      </c>
      <c r="B470" s="113"/>
      <c r="C470" s="127"/>
      <c r="K470" s="17"/>
      <c r="L470" s="17">
        <f t="shared" si="40"/>
        <v>0</v>
      </c>
      <c r="M470" s="17">
        <f t="shared" si="41"/>
        <v>0</v>
      </c>
      <c r="N470" s="17">
        <f aca="true" t="shared" si="45" ref="N470:N475">B470/8</f>
        <v>0</v>
      </c>
      <c r="Q470" s="17">
        <f t="shared" si="42"/>
        <v>0</v>
      </c>
      <c r="R470" s="17">
        <f t="shared" si="43"/>
        <v>0</v>
      </c>
      <c r="S470" s="17">
        <f t="shared" si="44"/>
        <v>0</v>
      </c>
      <c r="T470" s="17">
        <f>B470/8</f>
        <v>0</v>
      </c>
    </row>
    <row r="471" spans="1:20" ht="12.75">
      <c r="A471" s="7" t="s">
        <v>21</v>
      </c>
      <c r="B471" s="113">
        <v>110000000</v>
      </c>
      <c r="C471" s="127">
        <f t="shared" si="39"/>
        <v>96250000</v>
      </c>
      <c r="K471" s="17">
        <f>B471/8</f>
        <v>13750000</v>
      </c>
      <c r="L471" s="17">
        <f t="shared" si="40"/>
        <v>13750000</v>
      </c>
      <c r="M471" s="17">
        <f t="shared" si="41"/>
        <v>13750000</v>
      </c>
      <c r="N471" s="17">
        <f t="shared" si="45"/>
        <v>13750000</v>
      </c>
      <c r="Q471" s="17">
        <f t="shared" si="42"/>
        <v>13750000</v>
      </c>
      <c r="R471" s="17">
        <f t="shared" si="43"/>
        <v>13750000</v>
      </c>
      <c r="S471" s="17">
        <f t="shared" si="44"/>
        <v>13750000</v>
      </c>
      <c r="T471" s="17"/>
    </row>
    <row r="472" spans="1:20" ht="12.75">
      <c r="A472" s="7" t="s">
        <v>22</v>
      </c>
      <c r="B472" s="113">
        <v>110000000</v>
      </c>
      <c r="C472" s="127">
        <f t="shared" si="39"/>
        <v>96250000</v>
      </c>
      <c r="K472" s="17">
        <f>B472/8</f>
        <v>13750000</v>
      </c>
      <c r="L472" s="17">
        <f t="shared" si="40"/>
        <v>13750000</v>
      </c>
      <c r="M472" s="17">
        <f t="shared" si="41"/>
        <v>13750000</v>
      </c>
      <c r="N472" s="17"/>
      <c r="Q472" s="17">
        <f t="shared" si="42"/>
        <v>13750000</v>
      </c>
      <c r="R472" s="17">
        <f t="shared" si="43"/>
        <v>13750000</v>
      </c>
      <c r="S472" s="17">
        <f t="shared" si="44"/>
        <v>13750000</v>
      </c>
      <c r="T472" s="17">
        <f>B472/8</f>
        <v>13750000</v>
      </c>
    </row>
    <row r="473" spans="1:20" ht="12.75">
      <c r="A473" s="7" t="s">
        <v>23</v>
      </c>
      <c r="B473" s="113">
        <v>100000000</v>
      </c>
      <c r="C473" s="127">
        <f t="shared" si="39"/>
        <v>75000000</v>
      </c>
      <c r="K473" s="17">
        <f>B473/8</f>
        <v>12500000</v>
      </c>
      <c r="L473" s="17">
        <f t="shared" si="40"/>
        <v>12500000</v>
      </c>
      <c r="M473" s="17">
        <f t="shared" si="41"/>
        <v>12500000</v>
      </c>
      <c r="N473" s="17"/>
      <c r="Q473" s="17">
        <f t="shared" si="42"/>
        <v>12500000</v>
      </c>
      <c r="R473" s="17">
        <f t="shared" si="43"/>
        <v>12500000</v>
      </c>
      <c r="S473" s="17">
        <f t="shared" si="44"/>
        <v>12500000</v>
      </c>
      <c r="T473" s="17"/>
    </row>
    <row r="474" spans="1:20" ht="12.75">
      <c r="A474" s="7" t="s">
        <v>24</v>
      </c>
      <c r="B474" s="113">
        <v>110000000</v>
      </c>
      <c r="C474" s="127">
        <f t="shared" si="39"/>
        <v>96250000</v>
      </c>
      <c r="K474" s="17">
        <f>B474/8</f>
        <v>13750000</v>
      </c>
      <c r="L474" s="17">
        <f t="shared" si="40"/>
        <v>13750000</v>
      </c>
      <c r="M474" s="17">
        <f t="shared" si="41"/>
        <v>13750000</v>
      </c>
      <c r="N474" s="17"/>
      <c r="Q474" s="17">
        <f t="shared" si="42"/>
        <v>13750000</v>
      </c>
      <c r="R474" s="17">
        <f t="shared" si="43"/>
        <v>13750000</v>
      </c>
      <c r="S474" s="17">
        <f t="shared" si="44"/>
        <v>13750000</v>
      </c>
      <c r="T474" s="17">
        <f>B474/8</f>
        <v>13750000</v>
      </c>
    </row>
    <row r="475" spans="1:20" ht="12.75">
      <c r="A475" s="7" t="s">
        <v>25</v>
      </c>
      <c r="B475" s="113">
        <v>90000000</v>
      </c>
      <c r="C475" s="127">
        <f t="shared" si="39"/>
        <v>78750000</v>
      </c>
      <c r="K475" s="17">
        <f>B475/8</f>
        <v>11250000</v>
      </c>
      <c r="L475" s="17">
        <f t="shared" si="40"/>
        <v>11250000</v>
      </c>
      <c r="M475" s="17">
        <f t="shared" si="41"/>
        <v>11250000</v>
      </c>
      <c r="N475" s="17">
        <f t="shared" si="45"/>
        <v>11250000</v>
      </c>
      <c r="Q475" s="17">
        <f t="shared" si="42"/>
        <v>11250000</v>
      </c>
      <c r="R475" s="17">
        <f t="shared" si="43"/>
        <v>11250000</v>
      </c>
      <c r="S475" s="17">
        <f t="shared" si="44"/>
        <v>11250000</v>
      </c>
      <c r="T475" s="17"/>
    </row>
    <row r="476" spans="1:21" ht="12.75">
      <c r="A476" s="3" t="s">
        <v>27</v>
      </c>
      <c r="B476" s="113">
        <v>25000000</v>
      </c>
      <c r="C476" s="127">
        <f t="shared" si="39"/>
        <v>25000000</v>
      </c>
      <c r="O476" s="17">
        <f>B476/2</f>
        <v>12500000</v>
      </c>
      <c r="U476" s="17">
        <f>B476/2</f>
        <v>12500000</v>
      </c>
    </row>
    <row r="477" spans="1:21" ht="12.75">
      <c r="A477" s="3" t="s">
        <v>32</v>
      </c>
      <c r="B477" s="113">
        <v>40000000</v>
      </c>
      <c r="C477" s="127">
        <f t="shared" si="39"/>
        <v>40000000</v>
      </c>
      <c r="K477" s="57"/>
      <c r="L477" s="53"/>
      <c r="M477" s="26"/>
      <c r="N477" s="60"/>
      <c r="O477" s="17">
        <f>B477/2</f>
        <v>20000000</v>
      </c>
      <c r="P477" s="25"/>
      <c r="Q477" s="61"/>
      <c r="R477" s="59"/>
      <c r="S477" s="57"/>
      <c r="T477" s="25"/>
      <c r="U477" s="17">
        <f>B477/2</f>
        <v>20000000</v>
      </c>
    </row>
    <row r="478" spans="1:21" ht="12.75">
      <c r="A478" s="3" t="s">
        <v>28</v>
      </c>
      <c r="B478" s="113">
        <v>2000000</v>
      </c>
      <c r="C478" s="127">
        <f t="shared" si="39"/>
        <v>2000000</v>
      </c>
      <c r="U478" s="17">
        <f>B478</f>
        <v>2000000</v>
      </c>
    </row>
    <row r="479" spans="1:22" s="90" customFormat="1" ht="12.75">
      <c r="A479" s="32" t="s">
        <v>18</v>
      </c>
      <c r="B479" s="110">
        <f>SUM(B453:B478)</f>
        <v>1562000000</v>
      </c>
      <c r="C479" s="110">
        <f>SUM(D479:U479)</f>
        <v>1337850000</v>
      </c>
      <c r="D479" s="18"/>
      <c r="E479" s="18"/>
      <c r="F479" s="309">
        <f>SUM(F460:F478)</f>
        <v>20000000</v>
      </c>
      <c r="G479" s="110">
        <f aca="true" t="shared" si="46" ref="G479:U479">SUM(G453:G478)</f>
        <v>0</v>
      </c>
      <c r="H479" s="110">
        <f t="shared" si="46"/>
        <v>30000000</v>
      </c>
      <c r="I479" s="110">
        <f t="shared" si="46"/>
        <v>0</v>
      </c>
      <c r="J479" s="110">
        <f t="shared" si="46"/>
        <v>0</v>
      </c>
      <c r="K479" s="110">
        <f t="shared" si="46"/>
        <v>90000000</v>
      </c>
      <c r="L479" s="110">
        <f t="shared" si="46"/>
        <v>116037500</v>
      </c>
      <c r="M479" s="110">
        <f t="shared" si="46"/>
        <v>116037500</v>
      </c>
      <c r="N479" s="110">
        <f t="shared" si="46"/>
        <v>30000000</v>
      </c>
      <c r="O479" s="110">
        <f t="shared" si="46"/>
        <v>480850000</v>
      </c>
      <c r="P479" s="110">
        <f t="shared" si="46"/>
        <v>0</v>
      </c>
      <c r="Q479" s="110">
        <f t="shared" si="46"/>
        <v>100000000</v>
      </c>
      <c r="R479" s="110">
        <f t="shared" si="46"/>
        <v>116037500</v>
      </c>
      <c r="S479" s="110">
        <f t="shared" si="46"/>
        <v>116037500</v>
      </c>
      <c r="T479" s="110">
        <f t="shared" si="46"/>
        <v>30000000</v>
      </c>
      <c r="U479" s="110">
        <f t="shared" si="46"/>
        <v>92850000</v>
      </c>
      <c r="V479" s="215">
        <f>100000000-Q479</f>
        <v>0</v>
      </c>
    </row>
    <row r="481" ht="12.75">
      <c r="A481" s="1" t="s">
        <v>91</v>
      </c>
    </row>
    <row r="482" spans="1:21" ht="12.75">
      <c r="A482" s="3" t="s">
        <v>30</v>
      </c>
      <c r="B482" s="113">
        <v>500000</v>
      </c>
      <c r="C482" s="111">
        <f aca="true" t="shared" si="47" ref="C482:C499">SUM(D482:U482)</f>
        <v>500000</v>
      </c>
      <c r="O482" s="17"/>
      <c r="U482" s="17">
        <f>B482</f>
        <v>500000</v>
      </c>
    </row>
    <row r="483" spans="1:21" ht="12.75">
      <c r="A483" s="3" t="s">
        <v>33</v>
      </c>
      <c r="B483" s="113">
        <v>37500000</v>
      </c>
      <c r="C483" s="111">
        <f t="shared" si="47"/>
        <v>37500000</v>
      </c>
      <c r="U483" s="17">
        <f>B483</f>
        <v>37500000</v>
      </c>
    </row>
    <row r="484" spans="1:21" s="19" customFormat="1" ht="12.75">
      <c r="A484" s="3" t="s">
        <v>279</v>
      </c>
      <c r="B484" s="113">
        <v>200000000</v>
      </c>
      <c r="C484" s="111">
        <f t="shared" si="47"/>
        <v>117925000</v>
      </c>
      <c r="D484" s="25"/>
      <c r="E484" s="25"/>
      <c r="F484" s="25"/>
      <c r="G484" s="26">
        <v>17925000</v>
      </c>
      <c r="H484" s="25"/>
      <c r="I484" s="26"/>
      <c r="J484" s="25"/>
      <c r="K484" s="25"/>
      <c r="L484" s="25"/>
      <c r="M484" s="25"/>
      <c r="N484" s="25"/>
      <c r="O484" s="25"/>
      <c r="P484" s="25"/>
      <c r="Q484" s="58"/>
      <c r="R484" s="58">
        <f>B484/5</f>
        <v>40000000</v>
      </c>
      <c r="S484" s="58"/>
      <c r="T484" s="58">
        <f>20000000</f>
        <v>20000000</v>
      </c>
      <c r="U484" s="17">
        <f>B484/5</f>
        <v>40000000</v>
      </c>
    </row>
    <row r="485" spans="1:21" ht="12.75">
      <c r="A485" s="16" t="s">
        <v>35</v>
      </c>
      <c r="B485" s="113">
        <v>4800000</v>
      </c>
      <c r="C485" s="111">
        <f t="shared" si="47"/>
        <v>4800000</v>
      </c>
      <c r="U485" s="6">
        <v>4800000</v>
      </c>
    </row>
    <row r="486" spans="1:21" ht="12.75">
      <c r="A486" s="16" t="s">
        <v>31</v>
      </c>
      <c r="B486" s="125">
        <v>3000000</v>
      </c>
      <c r="C486" s="111">
        <f t="shared" si="47"/>
        <v>3000000</v>
      </c>
      <c r="U486" s="53">
        <v>3000000</v>
      </c>
    </row>
    <row r="487" spans="1:21" ht="12.75">
      <c r="A487" s="3" t="s">
        <v>8</v>
      </c>
      <c r="B487" s="113">
        <v>5000000</v>
      </c>
      <c r="C487" s="111">
        <f t="shared" si="47"/>
        <v>5000000</v>
      </c>
      <c r="U487" s="6">
        <v>5000000</v>
      </c>
    </row>
    <row r="488" spans="1:21" s="19" customFormat="1" ht="12.75">
      <c r="A488" s="16" t="s">
        <v>169</v>
      </c>
      <c r="B488" s="125">
        <v>10000000</v>
      </c>
      <c r="C488" s="111">
        <f t="shared" si="47"/>
        <v>10000000</v>
      </c>
      <c r="D488" s="25"/>
      <c r="E488" s="25"/>
      <c r="F488" s="25"/>
      <c r="G488" s="25"/>
      <c r="H488" s="25"/>
      <c r="I488" s="26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53">
        <v>10000000</v>
      </c>
    </row>
    <row r="489" spans="1:3" ht="12.75">
      <c r="A489" s="16" t="s">
        <v>34</v>
      </c>
      <c r="B489" s="113"/>
      <c r="C489" s="111">
        <f t="shared" si="47"/>
        <v>0</v>
      </c>
    </row>
    <row r="490" spans="1:21" ht="12.75">
      <c r="A490" s="7" t="s">
        <v>36</v>
      </c>
      <c r="B490" s="113">
        <v>27000000</v>
      </c>
      <c r="C490" s="111">
        <f t="shared" si="47"/>
        <v>27000000</v>
      </c>
      <c r="U490" s="6">
        <v>27000000</v>
      </c>
    </row>
    <row r="491" spans="1:21" ht="12.75">
      <c r="A491" s="7" t="s">
        <v>37</v>
      </c>
      <c r="B491" s="113">
        <v>36000000</v>
      </c>
      <c r="C491" s="111">
        <f t="shared" si="47"/>
        <v>36000000</v>
      </c>
      <c r="U491" s="6">
        <v>36000000</v>
      </c>
    </row>
    <row r="492" spans="1:21" ht="12.75">
      <c r="A492" s="7" t="s">
        <v>38</v>
      </c>
      <c r="B492" s="113">
        <v>30000000</v>
      </c>
      <c r="C492" s="111">
        <f t="shared" si="47"/>
        <v>30000000</v>
      </c>
      <c r="U492" s="6">
        <v>30000000</v>
      </c>
    </row>
    <row r="493" spans="1:21" ht="12.75">
      <c r="A493" s="7" t="s">
        <v>39</v>
      </c>
      <c r="B493" s="113">
        <v>24000000</v>
      </c>
      <c r="C493" s="111">
        <f t="shared" si="47"/>
        <v>24000000</v>
      </c>
      <c r="U493" s="6">
        <v>24000000</v>
      </c>
    </row>
    <row r="494" spans="1:21" ht="12.75">
      <c r="A494" s="7" t="s">
        <v>40</v>
      </c>
      <c r="B494" s="113">
        <v>27000000</v>
      </c>
      <c r="C494" s="111">
        <f t="shared" si="47"/>
        <v>27000000</v>
      </c>
      <c r="U494" s="6">
        <v>27000000</v>
      </c>
    </row>
    <row r="495" spans="1:21" ht="12.75">
      <c r="A495" s="7" t="s">
        <v>29</v>
      </c>
      <c r="B495" s="113">
        <v>24000000</v>
      </c>
      <c r="C495" s="111">
        <f t="shared" si="47"/>
        <v>24000000</v>
      </c>
      <c r="U495" s="6">
        <v>24000000</v>
      </c>
    </row>
    <row r="496" spans="1:21" ht="12.75">
      <c r="A496" s="7" t="s">
        <v>32</v>
      </c>
      <c r="B496" s="113">
        <v>40000000</v>
      </c>
      <c r="C496" s="111">
        <f t="shared" si="47"/>
        <v>40000000</v>
      </c>
      <c r="K496" s="17"/>
      <c r="U496" s="6">
        <v>40000000</v>
      </c>
    </row>
    <row r="497" spans="1:21" ht="12.75">
      <c r="A497" s="7" t="s">
        <v>28</v>
      </c>
      <c r="B497" s="113">
        <v>2000000</v>
      </c>
      <c r="C497" s="111">
        <f t="shared" si="47"/>
        <v>2000000</v>
      </c>
      <c r="K497" s="62"/>
      <c r="L497" s="61"/>
      <c r="M497" s="61"/>
      <c r="N497" s="61"/>
      <c r="U497" s="6">
        <v>2000000</v>
      </c>
    </row>
    <row r="498" spans="1:21" ht="12.75">
      <c r="A498" s="128" t="s">
        <v>177</v>
      </c>
      <c r="B498" s="125">
        <f>60000000+70000000</f>
        <v>130000000</v>
      </c>
      <c r="C498" s="111">
        <f t="shared" si="47"/>
        <v>52000000</v>
      </c>
      <c r="Q498" s="58"/>
      <c r="R498" s="58">
        <f>B498/5</f>
        <v>26000000</v>
      </c>
      <c r="S498" s="58"/>
      <c r="T498" s="58"/>
      <c r="U498" s="58">
        <f>B498/5</f>
        <v>26000000</v>
      </c>
    </row>
    <row r="499" spans="1:21" s="90" customFormat="1" ht="12.75">
      <c r="A499" s="33" t="s">
        <v>42</v>
      </c>
      <c r="B499" s="89">
        <f>SUM(B482:B498)</f>
        <v>600800000</v>
      </c>
      <c r="C499" s="89">
        <f t="shared" si="47"/>
        <v>440725000</v>
      </c>
      <c r="D499" s="89">
        <f aca="true" t="shared" si="48" ref="D499:U499">SUM(D482:D498)</f>
        <v>0</v>
      </c>
      <c r="E499" s="89">
        <f t="shared" si="48"/>
        <v>0</v>
      </c>
      <c r="F499" s="89">
        <f t="shared" si="48"/>
        <v>0</v>
      </c>
      <c r="G499" s="89">
        <f t="shared" si="48"/>
        <v>17925000</v>
      </c>
      <c r="H499" s="89">
        <f t="shared" si="48"/>
        <v>0</v>
      </c>
      <c r="I499" s="89">
        <f t="shared" si="48"/>
        <v>0</v>
      </c>
      <c r="J499" s="89">
        <f t="shared" si="48"/>
        <v>0</v>
      </c>
      <c r="K499" s="89">
        <f t="shared" si="48"/>
        <v>0</v>
      </c>
      <c r="L499" s="89">
        <f t="shared" si="48"/>
        <v>0</v>
      </c>
      <c r="M499" s="89">
        <f t="shared" si="48"/>
        <v>0</v>
      </c>
      <c r="N499" s="89">
        <f t="shared" si="48"/>
        <v>0</v>
      </c>
      <c r="O499" s="89">
        <f t="shared" si="48"/>
        <v>0</v>
      </c>
      <c r="P499" s="89">
        <f t="shared" si="48"/>
        <v>0</v>
      </c>
      <c r="Q499" s="89">
        <f t="shared" si="48"/>
        <v>0</v>
      </c>
      <c r="R499" s="89">
        <f t="shared" si="48"/>
        <v>66000000</v>
      </c>
      <c r="S499" s="89">
        <f t="shared" si="48"/>
        <v>0</v>
      </c>
      <c r="T499" s="89">
        <f t="shared" si="48"/>
        <v>20000000</v>
      </c>
      <c r="U499" s="89">
        <f t="shared" si="48"/>
        <v>336800000</v>
      </c>
    </row>
    <row r="500" spans="1:21" ht="12.75">
      <c r="A500" s="72" t="s">
        <v>211</v>
      </c>
      <c r="B500" s="120">
        <f>B450+B479+B499</f>
        <v>2454900000</v>
      </c>
      <c r="C500" s="120">
        <f>SUM(D500:U500)</f>
        <v>2188175000</v>
      </c>
      <c r="D500" s="120">
        <f aca="true" t="shared" si="49" ref="D500:U500">D450+D479+D499</f>
        <v>0</v>
      </c>
      <c r="E500" s="120">
        <f>E450+E479+E499</f>
        <v>55000000</v>
      </c>
      <c r="F500" s="120">
        <f t="shared" si="49"/>
        <v>20000000</v>
      </c>
      <c r="G500" s="120">
        <f t="shared" si="49"/>
        <v>17925000</v>
      </c>
      <c r="H500" s="120">
        <f t="shared" si="49"/>
        <v>30000000</v>
      </c>
      <c r="I500" s="120">
        <f>I450+I479+I499</f>
        <v>0</v>
      </c>
      <c r="J500" s="120">
        <f t="shared" si="49"/>
        <v>0</v>
      </c>
      <c r="K500" s="120">
        <f t="shared" si="49"/>
        <v>170000000</v>
      </c>
      <c r="L500" s="120">
        <f t="shared" si="49"/>
        <v>116037500</v>
      </c>
      <c r="M500" s="120">
        <f t="shared" si="49"/>
        <v>116037500</v>
      </c>
      <c r="N500" s="120">
        <f t="shared" si="49"/>
        <v>30000000</v>
      </c>
      <c r="O500" s="120">
        <f t="shared" si="49"/>
        <v>623400000</v>
      </c>
      <c r="P500" s="120">
        <f t="shared" si="49"/>
        <v>0</v>
      </c>
      <c r="Q500" s="120">
        <f t="shared" si="49"/>
        <v>100000000</v>
      </c>
      <c r="R500" s="120">
        <f t="shared" si="49"/>
        <v>182037500</v>
      </c>
      <c r="S500" s="120">
        <f t="shared" si="49"/>
        <v>116037500</v>
      </c>
      <c r="T500" s="120">
        <f t="shared" si="49"/>
        <v>50000000</v>
      </c>
      <c r="U500" s="120">
        <f t="shared" si="49"/>
        <v>561700000</v>
      </c>
    </row>
    <row r="501" spans="1:21" s="78" customFormat="1" ht="12.75">
      <c r="A501" s="74" t="s">
        <v>214</v>
      </c>
      <c r="B501" s="76">
        <f>B435+B500</f>
        <v>4144850000</v>
      </c>
      <c r="C501" s="76">
        <f>SUM(D501:U501)</f>
        <v>3962125000.047619</v>
      </c>
      <c r="D501" s="74"/>
      <c r="E501" s="76">
        <f>E435+E500</f>
        <v>115000000</v>
      </c>
      <c r="F501" s="76">
        <f>F435+F500</f>
        <v>20000000</v>
      </c>
      <c r="G501" s="77">
        <f>G435+G500</f>
        <v>67925000</v>
      </c>
      <c r="H501" s="76">
        <f>H435+H500</f>
        <v>30000000</v>
      </c>
      <c r="I501" s="76">
        <f>I435+I500</f>
        <v>714621428.6190476</v>
      </c>
      <c r="J501" s="74"/>
      <c r="K501" s="77">
        <f>K435+K500</f>
        <v>220000000</v>
      </c>
      <c r="L501" s="77">
        <f>L435+L500</f>
        <v>116037500</v>
      </c>
      <c r="M501" s="77">
        <f>M435+M500</f>
        <v>216037500</v>
      </c>
      <c r="N501" s="77">
        <f>N435+N500</f>
        <v>30000000</v>
      </c>
      <c r="O501" s="77">
        <f>O435+O500</f>
        <v>1099700000</v>
      </c>
      <c r="P501" s="74"/>
      <c r="Q501" s="77">
        <f>Q435+Q500</f>
        <v>100000000</v>
      </c>
      <c r="R501" s="77">
        <f>R435+R500</f>
        <v>182037500</v>
      </c>
      <c r="S501" s="77">
        <f>S435+S500</f>
        <v>191037500</v>
      </c>
      <c r="T501" s="77">
        <f>T435+T500</f>
        <v>50000000</v>
      </c>
      <c r="U501" s="77">
        <f>U435+U500</f>
        <v>809728571.4285715</v>
      </c>
    </row>
    <row r="502" spans="1:21" s="20" customFormat="1" ht="12.75">
      <c r="A502" s="86"/>
      <c r="B502" s="87"/>
      <c r="C502" s="87"/>
      <c r="D502" s="86"/>
      <c r="E502" s="86"/>
      <c r="F502" s="86"/>
      <c r="G502" s="88"/>
      <c r="H502" s="86"/>
      <c r="I502" s="87"/>
      <c r="J502" s="86"/>
      <c r="K502" s="88"/>
      <c r="L502" s="88"/>
      <c r="M502" s="88"/>
      <c r="N502" s="88"/>
      <c r="O502" s="88"/>
      <c r="P502" s="86"/>
      <c r="Q502" s="88"/>
      <c r="R502" s="88"/>
      <c r="S502" s="88"/>
      <c r="T502" s="88"/>
      <c r="U502" s="88"/>
    </row>
    <row r="503" spans="1:21" s="99" customFormat="1" ht="12.75">
      <c r="A503" s="95" t="s">
        <v>215</v>
      </c>
      <c r="B503" s="96">
        <f>B109+B348+B501</f>
        <v>9816361500</v>
      </c>
      <c r="C503" s="96">
        <f>SUM(D503:U503)</f>
        <v>13468107000.047619</v>
      </c>
      <c r="D503" s="97"/>
      <c r="E503" s="96">
        <f>E109+E348+E501</f>
        <v>600000000</v>
      </c>
      <c r="F503" s="96">
        <f>F109+F348+F501</f>
        <v>3570000000</v>
      </c>
      <c r="G503" s="98">
        <f>G109+G348+G501</f>
        <v>350000000</v>
      </c>
      <c r="H503" s="96">
        <f>H109+H348+H501</f>
        <v>410000000</v>
      </c>
      <c r="I503" s="96">
        <f>I109+I348+I501</f>
        <v>3138203428.6190476</v>
      </c>
      <c r="J503" s="96">
        <f>J109+J348+J501</f>
        <v>0</v>
      </c>
      <c r="K503" s="96">
        <f>K109+K348+K501</f>
        <v>954000000</v>
      </c>
      <c r="L503" s="96">
        <f>L109+L348+L501</f>
        <v>116037500</v>
      </c>
      <c r="M503" s="96">
        <f>M109+M348+M501</f>
        <v>350000000</v>
      </c>
      <c r="N503" s="96">
        <f>N109+N348+N501</f>
        <v>630000000</v>
      </c>
      <c r="O503" s="96">
        <f>O109+O348+O501</f>
        <v>1153100000</v>
      </c>
      <c r="P503" s="96">
        <f>P109+P348+P501</f>
        <v>0</v>
      </c>
      <c r="Q503" s="96">
        <f>Q109+Q348+Q501</f>
        <v>100000000</v>
      </c>
      <c r="R503" s="96">
        <f>R109+R348+R501</f>
        <v>182037500</v>
      </c>
      <c r="S503" s="96">
        <f>S109+S348+S501</f>
        <v>350000000</v>
      </c>
      <c r="T503" s="96">
        <f>T109+T348+T501</f>
        <v>755000000</v>
      </c>
      <c r="U503" s="96">
        <f>U109+U348+U501</f>
        <v>809728571.4285715</v>
      </c>
    </row>
    <row r="504" spans="1:2" ht="12.75">
      <c r="A504" s="2" t="s">
        <v>43</v>
      </c>
      <c r="B504" s="108">
        <f>I503+O503+U503</f>
        <v>5101032000.047619</v>
      </c>
    </row>
    <row r="505" spans="1:2" ht="12.75">
      <c r="A505" s="2" t="s">
        <v>0</v>
      </c>
      <c r="B505" s="108">
        <f>D503+J503+P503</f>
        <v>0</v>
      </c>
    </row>
    <row r="506" spans="1:2" ht="12.75">
      <c r="A506" s="2" t="s">
        <v>218</v>
      </c>
      <c r="B506" s="108">
        <f>E503+K503+Q503</f>
        <v>1654000000</v>
      </c>
    </row>
    <row r="507" spans="1:3" ht="12.75">
      <c r="A507" s="2" t="s">
        <v>238</v>
      </c>
      <c r="B507" s="108">
        <f>F503+L503+R503</f>
        <v>3868075000</v>
      </c>
      <c r="C507" s="65" t="s">
        <v>500</v>
      </c>
    </row>
    <row r="508" spans="1:3" ht="12.75">
      <c r="A508" s="2" t="s">
        <v>239</v>
      </c>
      <c r="B508" s="108">
        <f>G503+M503+S503</f>
        <v>1050000000</v>
      </c>
      <c r="C508" s="65" t="s">
        <v>500</v>
      </c>
    </row>
    <row r="509" spans="1:2" ht="12.75">
      <c r="A509" s="2" t="s">
        <v>240</v>
      </c>
      <c r="B509" s="108">
        <f>H503+N503+T503</f>
        <v>1795000000</v>
      </c>
    </row>
  </sheetData>
  <sheetProtection/>
  <mergeCells count="12">
    <mergeCell ref="A1:Q1"/>
    <mergeCell ref="A3:A4"/>
    <mergeCell ref="K4:N4"/>
    <mergeCell ref="J4:J5"/>
    <mergeCell ref="O4:O5"/>
    <mergeCell ref="P3:U3"/>
    <mergeCell ref="P4:P5"/>
    <mergeCell ref="Q4:T4"/>
    <mergeCell ref="U4:U5"/>
    <mergeCell ref="E4:H4"/>
    <mergeCell ref="D3:I3"/>
    <mergeCell ref="J3:O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I11"/>
  <sheetViews>
    <sheetView zoomScalePageLayoutView="0" workbookViewId="0" topLeftCell="A1">
      <selection activeCell="E6" sqref="E6"/>
    </sheetView>
  </sheetViews>
  <sheetFormatPr defaultColWidth="9.140625" defaultRowHeight="12.75"/>
  <cols>
    <col min="3" max="5" width="11.140625" style="0" bestFit="1" customWidth="1"/>
    <col min="6" max="6" width="13.8515625" style="0" customWidth="1"/>
    <col min="7" max="7" width="11.140625" style="0" bestFit="1" customWidth="1"/>
  </cols>
  <sheetData>
    <row r="1" spans="1:5" ht="12.75">
      <c r="A1" t="s">
        <v>270</v>
      </c>
      <c r="B1" t="s">
        <v>271</v>
      </c>
      <c r="C1" t="s">
        <v>272</v>
      </c>
      <c r="D1" t="s">
        <v>273</v>
      </c>
      <c r="E1" t="s">
        <v>274</v>
      </c>
    </row>
    <row r="2" spans="1:2" ht="12.75">
      <c r="A2">
        <v>1</v>
      </c>
      <c r="B2">
        <v>1</v>
      </c>
    </row>
    <row r="3" spans="2:6" ht="12.75">
      <c r="B3">
        <v>2</v>
      </c>
      <c r="C3" s="70">
        <v>164200000</v>
      </c>
      <c r="D3" s="70">
        <f>275000000-C3</f>
        <v>110800000</v>
      </c>
      <c r="E3" s="70">
        <v>0</v>
      </c>
      <c r="F3" s="70">
        <f>SUM(C3:E3)</f>
        <v>275000000</v>
      </c>
    </row>
    <row r="4" spans="3:6" ht="12.75">
      <c r="C4" s="70"/>
      <c r="D4" s="70"/>
      <c r="E4" s="70"/>
      <c r="F4" s="70"/>
    </row>
    <row r="5" spans="1:9" ht="12.75">
      <c r="A5">
        <v>2</v>
      </c>
      <c r="B5">
        <v>1</v>
      </c>
      <c r="C5" s="70">
        <v>25000000</v>
      </c>
      <c r="D5" s="70">
        <f>39200000-16037500</f>
        <v>23162500</v>
      </c>
      <c r="E5" s="70">
        <f>110800000+16037500</f>
        <v>126837500</v>
      </c>
      <c r="F5" s="70">
        <f>SUM(C5:E5)</f>
        <v>175000000</v>
      </c>
      <c r="G5" s="70"/>
      <c r="I5" s="70"/>
    </row>
    <row r="6" spans="1:9" ht="12.75">
      <c r="A6" s="218"/>
      <c r="B6" s="218">
        <v>2</v>
      </c>
      <c r="C6" s="219">
        <v>50000000</v>
      </c>
      <c r="D6" s="219">
        <v>50000000</v>
      </c>
      <c r="E6" s="219">
        <v>50000000</v>
      </c>
      <c r="F6" s="219">
        <f>SUM(C6:E6)</f>
        <v>150000000</v>
      </c>
      <c r="G6" s="218"/>
      <c r="I6" t="s">
        <v>440</v>
      </c>
    </row>
    <row r="7" spans="2:7" ht="12.75">
      <c r="B7">
        <v>3</v>
      </c>
      <c r="C7" s="70">
        <f>100000000-7125000</f>
        <v>92875000</v>
      </c>
      <c r="D7" s="70"/>
      <c r="E7" s="70">
        <f>39200000-7075000</f>
        <v>32125000</v>
      </c>
      <c r="F7" s="70">
        <f>SUM(C7:E7)</f>
        <v>125000000</v>
      </c>
      <c r="G7" s="70">
        <f>F7-125000000</f>
        <v>0</v>
      </c>
    </row>
    <row r="8" spans="3:6" ht="12.75">
      <c r="C8" s="70"/>
      <c r="D8" s="70"/>
      <c r="E8" s="70"/>
      <c r="F8" s="70"/>
    </row>
    <row r="9" spans="1:6" ht="12.75">
      <c r="A9">
        <v>3</v>
      </c>
      <c r="B9">
        <v>1</v>
      </c>
      <c r="C9" s="70">
        <v>50000000</v>
      </c>
      <c r="D9" s="70">
        <v>100000000</v>
      </c>
      <c r="E9" s="70">
        <v>75000000</v>
      </c>
      <c r="F9" s="70">
        <f>SUM(C9:E9)</f>
        <v>225000000</v>
      </c>
    </row>
    <row r="10" spans="2:7" ht="12.75">
      <c r="B10">
        <v>2</v>
      </c>
      <c r="C10" s="70">
        <f>25000000-7075000</f>
        <v>17925000</v>
      </c>
      <c r="D10" s="70">
        <v>116037500</v>
      </c>
      <c r="E10" s="70">
        <v>116037500</v>
      </c>
      <c r="F10" s="70">
        <f>SUM(C10:E10)</f>
        <v>250000000</v>
      </c>
      <c r="G10" s="70">
        <f>F9+F10+F3</f>
        <v>750000000</v>
      </c>
    </row>
    <row r="11" spans="3:6" ht="12.75">
      <c r="C11" s="70">
        <f>SUM(C2:C10)</f>
        <v>400000000</v>
      </c>
      <c r="D11" s="70">
        <f>SUM(D2:D10)</f>
        <v>400000000</v>
      </c>
      <c r="E11" s="70">
        <f>SUM(E2:E10)</f>
        <v>400000000</v>
      </c>
      <c r="F11" s="70">
        <f>SUM(F3:F10)</f>
        <v>1200000000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I81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3.57421875" style="0" bestFit="1" customWidth="1"/>
    <col min="2" max="2" width="26.7109375" style="0" bestFit="1" customWidth="1"/>
    <col min="3" max="3" width="15.7109375" style="0" customWidth="1"/>
    <col min="4" max="4" width="10.8515625" style="0" bestFit="1" customWidth="1"/>
    <col min="5" max="5" width="43.28125" style="0" bestFit="1" customWidth="1"/>
    <col min="6" max="6" width="14.00390625" style="0" bestFit="1" customWidth="1"/>
    <col min="7" max="7" width="15.00390625" style="0" customWidth="1"/>
    <col min="8" max="8" width="14.140625" style="0" customWidth="1"/>
    <col min="9" max="9" width="19.57421875" style="0" bestFit="1" customWidth="1"/>
  </cols>
  <sheetData>
    <row r="1" spans="1:9" ht="12.75">
      <c r="A1" s="289" t="s">
        <v>445</v>
      </c>
      <c r="B1" s="289"/>
      <c r="C1" s="289"/>
      <c r="D1" s="289"/>
      <c r="E1" s="289"/>
      <c r="F1" s="289"/>
      <c r="G1" s="289"/>
      <c r="H1" s="289"/>
      <c r="I1" s="289"/>
    </row>
    <row r="2" spans="6:8" ht="12.75">
      <c r="F2" s="10"/>
      <c r="G2" s="10"/>
      <c r="H2" s="10"/>
    </row>
    <row r="3" spans="1:9" ht="12.75">
      <c r="A3" s="23" t="s">
        <v>280</v>
      </c>
      <c r="B3" s="23"/>
      <c r="C3" s="23" t="s">
        <v>281</v>
      </c>
      <c r="D3" s="23"/>
      <c r="E3" s="23"/>
      <c r="F3" s="71"/>
      <c r="G3" s="71"/>
      <c r="H3" s="71"/>
      <c r="I3" s="23"/>
    </row>
    <row r="4" spans="1:9" ht="12.75">
      <c r="A4" s="287" t="s">
        <v>282</v>
      </c>
      <c r="B4" s="287" t="s">
        <v>283</v>
      </c>
      <c r="C4" s="287" t="s">
        <v>284</v>
      </c>
      <c r="D4" s="287" t="s">
        <v>285</v>
      </c>
      <c r="E4" s="287" t="s">
        <v>286</v>
      </c>
      <c r="F4" s="287" t="s">
        <v>287</v>
      </c>
      <c r="G4" s="287"/>
      <c r="H4" s="287"/>
      <c r="I4" s="287" t="s">
        <v>288</v>
      </c>
    </row>
    <row r="5" spans="1:9" ht="12.75">
      <c r="A5" s="287"/>
      <c r="B5" s="287"/>
      <c r="C5" s="287"/>
      <c r="D5" s="287"/>
      <c r="E5" s="287"/>
      <c r="F5" s="8">
        <v>2011</v>
      </c>
      <c r="G5" s="8">
        <v>2012</v>
      </c>
      <c r="H5" s="8">
        <v>2013</v>
      </c>
      <c r="I5" s="287"/>
    </row>
    <row r="6" spans="1:9" ht="12.75">
      <c r="A6" s="140">
        <v>1</v>
      </c>
      <c r="B6" s="141" t="s">
        <v>289</v>
      </c>
      <c r="C6" s="141" t="s">
        <v>290</v>
      </c>
      <c r="D6" s="141">
        <v>3</v>
      </c>
      <c r="E6" s="141" t="s">
        <v>291</v>
      </c>
      <c r="F6" s="142">
        <v>0</v>
      </c>
      <c r="G6" s="142">
        <v>0</v>
      </c>
      <c r="H6" s="143">
        <v>200000000</v>
      </c>
      <c r="I6" s="14"/>
    </row>
    <row r="7" spans="1:9" ht="12.75">
      <c r="A7" s="144"/>
      <c r="B7" s="145" t="s">
        <v>292</v>
      </c>
      <c r="C7" s="144"/>
      <c r="D7" s="145"/>
      <c r="E7" s="145" t="s">
        <v>293</v>
      </c>
      <c r="F7" s="146"/>
      <c r="G7" s="146"/>
      <c r="H7" s="146"/>
      <c r="I7" s="144"/>
    </row>
    <row r="8" spans="1:9" ht="12.75">
      <c r="A8" s="144"/>
      <c r="B8" s="144"/>
      <c r="C8" s="144"/>
      <c r="D8" s="144"/>
      <c r="F8" s="146"/>
      <c r="G8" s="146"/>
      <c r="H8" s="146"/>
      <c r="I8" s="144"/>
    </row>
    <row r="9" spans="1:9" ht="12.75">
      <c r="A9" s="15"/>
      <c r="B9" s="15"/>
      <c r="C9" s="15"/>
      <c r="D9" s="15"/>
      <c r="E9" s="15"/>
      <c r="F9" s="148"/>
      <c r="G9" s="148"/>
      <c r="H9" s="148"/>
      <c r="I9" s="15"/>
    </row>
    <row r="10" spans="6:8" ht="12.75">
      <c r="F10" s="10"/>
      <c r="G10" s="10"/>
      <c r="H10" s="10"/>
    </row>
    <row r="11" spans="6:8" ht="12.75">
      <c r="F11" s="10"/>
      <c r="G11" s="10"/>
      <c r="H11" s="10"/>
    </row>
    <row r="12" spans="1:9" ht="12.75">
      <c r="A12" s="23" t="s">
        <v>294</v>
      </c>
      <c r="B12" s="23"/>
      <c r="C12" s="149" t="s">
        <v>295</v>
      </c>
      <c r="D12" s="23"/>
      <c r="E12" s="23"/>
      <c r="F12" s="71"/>
      <c r="G12" s="71"/>
      <c r="H12" s="71"/>
      <c r="I12" s="23"/>
    </row>
    <row r="13" spans="1:9" ht="12.75">
      <c r="A13" s="287" t="s">
        <v>282</v>
      </c>
      <c r="B13" s="287" t="s">
        <v>283</v>
      </c>
      <c r="C13" s="287" t="s">
        <v>284</v>
      </c>
      <c r="D13" s="287" t="s">
        <v>285</v>
      </c>
      <c r="E13" s="287" t="s">
        <v>286</v>
      </c>
      <c r="F13" s="287" t="s">
        <v>287</v>
      </c>
      <c r="G13" s="287"/>
      <c r="H13" s="287"/>
      <c r="I13" s="287" t="s">
        <v>288</v>
      </c>
    </row>
    <row r="14" spans="1:9" ht="12.75">
      <c r="A14" s="287"/>
      <c r="B14" s="287"/>
      <c r="C14" s="287"/>
      <c r="D14" s="287"/>
      <c r="E14" s="287"/>
      <c r="F14" s="8">
        <v>2011</v>
      </c>
      <c r="G14" s="8">
        <v>2012</v>
      </c>
      <c r="H14" s="8">
        <v>2013</v>
      </c>
      <c r="I14" s="287"/>
    </row>
    <row r="15" spans="1:9" ht="12.75">
      <c r="A15" s="140">
        <v>1</v>
      </c>
      <c r="B15" s="14" t="s">
        <v>296</v>
      </c>
      <c r="C15" s="150">
        <v>2</v>
      </c>
      <c r="D15" s="151">
        <v>1</v>
      </c>
      <c r="E15" s="14" t="s">
        <v>297</v>
      </c>
      <c r="F15" s="143">
        <v>40000000</v>
      </c>
      <c r="G15" s="143">
        <v>60000000</v>
      </c>
      <c r="H15" s="143">
        <v>70000000</v>
      </c>
      <c r="I15" s="141"/>
    </row>
    <row r="16" spans="1:9" ht="12.75">
      <c r="A16" s="152"/>
      <c r="B16" s="144" t="s">
        <v>298</v>
      </c>
      <c r="C16" s="153"/>
      <c r="D16" s="154"/>
      <c r="E16" s="144" t="s">
        <v>299</v>
      </c>
      <c r="F16" s="146"/>
      <c r="G16" s="146"/>
      <c r="H16" s="146"/>
      <c r="I16" s="144"/>
    </row>
    <row r="17" spans="1:9" ht="12.75">
      <c r="A17" s="152"/>
      <c r="B17" s="144"/>
      <c r="C17" s="153">
        <v>2</v>
      </c>
      <c r="D17" s="154">
        <v>1</v>
      </c>
      <c r="E17" s="145" t="s">
        <v>300</v>
      </c>
      <c r="F17" s="155">
        <v>40000000</v>
      </c>
      <c r="G17" s="155">
        <v>50000000</v>
      </c>
      <c r="H17" s="155">
        <v>60000000</v>
      </c>
      <c r="I17" s="145" t="s">
        <v>301</v>
      </c>
    </row>
    <row r="18" spans="1:9" ht="12.75">
      <c r="A18" s="152"/>
      <c r="B18" s="144"/>
      <c r="C18" s="153"/>
      <c r="D18" s="154"/>
      <c r="E18" s="144"/>
      <c r="F18" s="146"/>
      <c r="G18" s="146"/>
      <c r="H18" s="146"/>
      <c r="I18" s="144"/>
    </row>
    <row r="19" spans="1:9" ht="12.75">
      <c r="A19" s="152"/>
      <c r="B19" s="144"/>
      <c r="C19" s="153">
        <v>2</v>
      </c>
      <c r="D19" s="154">
        <v>1</v>
      </c>
      <c r="E19" s="145" t="s">
        <v>302</v>
      </c>
      <c r="F19" s="155">
        <v>100000000</v>
      </c>
      <c r="G19" s="155">
        <v>100000000</v>
      </c>
      <c r="H19" s="155">
        <v>125000000</v>
      </c>
      <c r="I19" s="144"/>
    </row>
    <row r="20" spans="1:9" ht="12.75">
      <c r="A20" s="152"/>
      <c r="B20" s="144"/>
      <c r="C20" s="153"/>
      <c r="D20" s="154"/>
      <c r="E20" s="144"/>
      <c r="F20" s="146"/>
      <c r="G20" s="146"/>
      <c r="H20" s="146"/>
      <c r="I20" s="145"/>
    </row>
    <row r="21" spans="1:9" ht="12.75">
      <c r="A21" s="220"/>
      <c r="B21" s="221"/>
      <c r="C21" s="222">
        <v>2</v>
      </c>
      <c r="D21" s="223">
        <v>1</v>
      </c>
      <c r="E21" s="224" t="s">
        <v>303</v>
      </c>
      <c r="F21" s="225">
        <v>75000000</v>
      </c>
      <c r="G21" s="225">
        <v>100000000</v>
      </c>
      <c r="H21" s="225">
        <v>100000000</v>
      </c>
      <c r="I21" s="221" t="s">
        <v>440</v>
      </c>
    </row>
    <row r="22" spans="1:9" ht="12.75">
      <c r="A22" s="220"/>
      <c r="B22" s="221"/>
      <c r="C22" s="222"/>
      <c r="D22" s="223"/>
      <c r="E22" s="224"/>
      <c r="F22" s="225"/>
      <c r="G22" s="225"/>
      <c r="H22" s="225"/>
      <c r="I22" s="221"/>
    </row>
    <row r="23" spans="1:9" ht="12.75">
      <c r="A23" s="220"/>
      <c r="B23" s="221"/>
      <c r="C23" s="222">
        <v>2</v>
      </c>
      <c r="D23" s="223">
        <v>1</v>
      </c>
      <c r="E23" s="224" t="s">
        <v>304</v>
      </c>
      <c r="F23" s="225">
        <v>100000000</v>
      </c>
      <c r="G23" s="225">
        <v>100000000</v>
      </c>
      <c r="H23" s="225">
        <v>100000000</v>
      </c>
      <c r="I23" s="221"/>
    </row>
    <row r="24" spans="1:9" ht="12.75">
      <c r="A24" s="152"/>
      <c r="B24" s="144"/>
      <c r="C24" s="153"/>
      <c r="D24" s="154"/>
      <c r="E24" s="145" t="s">
        <v>305</v>
      </c>
      <c r="F24" s="146"/>
      <c r="G24" s="146"/>
      <c r="H24" s="146"/>
      <c r="I24" s="144"/>
    </row>
    <row r="25" spans="1:9" ht="12.75">
      <c r="A25" s="152"/>
      <c r="B25" s="144"/>
      <c r="C25" s="153"/>
      <c r="D25" s="154"/>
      <c r="E25" s="145"/>
      <c r="F25" s="146"/>
      <c r="G25" s="146"/>
      <c r="H25" s="146"/>
      <c r="I25" s="144"/>
    </row>
    <row r="26" spans="1:9" ht="12.75">
      <c r="A26" s="152"/>
      <c r="B26" s="144"/>
      <c r="C26" s="153">
        <v>1</v>
      </c>
      <c r="D26" s="154">
        <v>2</v>
      </c>
      <c r="E26" s="141" t="s">
        <v>306</v>
      </c>
      <c r="F26" s="146">
        <v>0</v>
      </c>
      <c r="G26" s="155">
        <v>250000000</v>
      </c>
      <c r="H26" s="146">
        <v>0</v>
      </c>
      <c r="I26" s="144"/>
    </row>
    <row r="27" spans="1:9" ht="12.75">
      <c r="A27" s="152"/>
      <c r="B27" s="144"/>
      <c r="C27" s="153"/>
      <c r="D27" s="154"/>
      <c r="E27" s="145" t="s">
        <v>307</v>
      </c>
      <c r="F27" s="146"/>
      <c r="G27" s="146"/>
      <c r="H27" s="146"/>
      <c r="I27" s="144"/>
    </row>
    <row r="28" spans="1:9" ht="12.75">
      <c r="A28" s="152">
        <v>2</v>
      </c>
      <c r="B28" s="145" t="s">
        <v>308</v>
      </c>
      <c r="C28" s="153">
        <v>2</v>
      </c>
      <c r="D28" s="154">
        <v>2</v>
      </c>
      <c r="E28" s="145" t="s">
        <v>309</v>
      </c>
      <c r="F28" s="155">
        <v>200000000</v>
      </c>
      <c r="G28" s="155">
        <v>200000000</v>
      </c>
      <c r="H28" s="155">
        <v>200000000</v>
      </c>
      <c r="I28" s="145" t="s">
        <v>310</v>
      </c>
    </row>
    <row r="29" spans="1:9" ht="12.75">
      <c r="A29" s="152"/>
      <c r="B29" s="145"/>
      <c r="C29" s="153"/>
      <c r="D29" s="154"/>
      <c r="E29" s="145" t="s">
        <v>311</v>
      </c>
      <c r="F29" s="146"/>
      <c r="G29" s="146"/>
      <c r="H29" s="146"/>
      <c r="I29" s="145" t="s">
        <v>312</v>
      </c>
    </row>
    <row r="30" spans="1:9" ht="12.75">
      <c r="A30" s="152"/>
      <c r="B30" s="145"/>
      <c r="C30" s="153"/>
      <c r="D30" s="154"/>
      <c r="E30" s="145" t="s">
        <v>313</v>
      </c>
      <c r="F30" s="146"/>
      <c r="G30" s="146"/>
      <c r="H30" s="146"/>
      <c r="I30" s="144"/>
    </row>
    <row r="31" spans="1:9" ht="12.75">
      <c r="A31" s="226"/>
      <c r="B31" s="227"/>
      <c r="C31" s="228">
        <v>2</v>
      </c>
      <c r="D31" s="229">
        <v>2</v>
      </c>
      <c r="E31" s="227" t="s">
        <v>314</v>
      </c>
      <c r="F31" s="230">
        <v>50000000</v>
      </c>
      <c r="G31" s="230">
        <v>75000000</v>
      </c>
      <c r="H31" s="230">
        <v>75000000</v>
      </c>
      <c r="I31" s="227"/>
    </row>
    <row r="32" spans="1:9" ht="12.75">
      <c r="A32" s="220"/>
      <c r="B32" s="224"/>
      <c r="C32" s="222"/>
      <c r="D32" s="223"/>
      <c r="E32" s="224" t="s">
        <v>315</v>
      </c>
      <c r="F32" s="225"/>
      <c r="G32" s="225"/>
      <c r="H32" s="225"/>
      <c r="I32" s="221"/>
    </row>
    <row r="33" spans="1:9" ht="12.75">
      <c r="A33" s="152"/>
      <c r="B33" s="145"/>
      <c r="C33" s="153"/>
      <c r="D33" s="154"/>
      <c r="E33" s="145"/>
      <c r="F33" s="146"/>
      <c r="G33" s="146"/>
      <c r="H33" s="146"/>
      <c r="I33" s="144"/>
    </row>
    <row r="34" spans="1:9" ht="12.75">
      <c r="A34" s="152">
        <v>3</v>
      </c>
      <c r="B34" s="145" t="s">
        <v>316</v>
      </c>
      <c r="C34" s="156">
        <v>2</v>
      </c>
      <c r="D34" s="154">
        <v>2</v>
      </c>
      <c r="E34" s="145" t="s">
        <v>317</v>
      </c>
      <c r="F34" s="146">
        <v>50000000</v>
      </c>
      <c r="G34" s="157">
        <v>75000000</v>
      </c>
      <c r="H34" s="157">
        <v>75000000</v>
      </c>
      <c r="I34" s="144"/>
    </row>
    <row r="35" spans="1:9" ht="12.75">
      <c r="A35" s="152"/>
      <c r="B35" s="145" t="s">
        <v>318</v>
      </c>
      <c r="C35" s="153"/>
      <c r="D35" s="154"/>
      <c r="E35" s="145" t="s">
        <v>319</v>
      </c>
      <c r="F35" s="146"/>
      <c r="G35" s="146"/>
      <c r="H35" s="146"/>
      <c r="I35" s="144"/>
    </row>
    <row r="36" spans="1:9" ht="12.75">
      <c r="A36" s="152"/>
      <c r="B36" s="145" t="s">
        <v>320</v>
      </c>
      <c r="C36" s="153"/>
      <c r="D36" s="154"/>
      <c r="E36" s="145" t="s">
        <v>321</v>
      </c>
      <c r="F36" s="146"/>
      <c r="G36" s="146"/>
      <c r="H36" s="146"/>
      <c r="I36" s="144"/>
    </row>
    <row r="37" spans="1:9" ht="12.75">
      <c r="A37" s="152"/>
      <c r="B37" s="144"/>
      <c r="C37" s="153"/>
      <c r="D37" s="154"/>
      <c r="E37" s="144"/>
      <c r="F37" s="146"/>
      <c r="G37" s="146"/>
      <c r="H37" s="146"/>
      <c r="I37" s="144"/>
    </row>
    <row r="38" spans="1:9" ht="12.75">
      <c r="A38" s="220">
        <v>4</v>
      </c>
      <c r="B38" s="221" t="s">
        <v>322</v>
      </c>
      <c r="C38" s="222">
        <v>2</v>
      </c>
      <c r="D38" s="223">
        <v>3</v>
      </c>
      <c r="E38" s="224" t="s">
        <v>323</v>
      </c>
      <c r="F38" s="225">
        <v>100000000</v>
      </c>
      <c r="G38" s="225">
        <v>100000000</v>
      </c>
      <c r="H38" s="225">
        <v>100000000</v>
      </c>
      <c r="I38" s="221" t="s">
        <v>324</v>
      </c>
    </row>
    <row r="39" spans="1:9" ht="12.75">
      <c r="A39" s="152"/>
      <c r="B39" s="144"/>
      <c r="C39" s="153"/>
      <c r="D39" s="154"/>
      <c r="E39" s="144"/>
      <c r="F39" s="146"/>
      <c r="G39" s="146"/>
      <c r="H39" s="146"/>
      <c r="I39" s="144"/>
    </row>
    <row r="40" spans="1:9" ht="12.75">
      <c r="A40" s="152"/>
      <c r="B40" s="144"/>
      <c r="C40" s="153"/>
      <c r="D40" s="154"/>
      <c r="E40" s="144"/>
      <c r="F40" s="146"/>
      <c r="G40" s="146"/>
      <c r="H40" s="146"/>
      <c r="I40" s="144"/>
    </row>
    <row r="41" spans="1:9" ht="12.75">
      <c r="A41" s="152"/>
      <c r="B41" s="144"/>
      <c r="C41" s="153"/>
      <c r="D41" s="154"/>
      <c r="E41" s="145"/>
      <c r="F41" s="146"/>
      <c r="G41" s="146"/>
      <c r="H41" s="146"/>
      <c r="I41" s="144"/>
    </row>
    <row r="42" spans="1:9" ht="12.75">
      <c r="A42" s="152"/>
      <c r="B42" s="144"/>
      <c r="C42" s="153"/>
      <c r="D42" s="154"/>
      <c r="E42" s="144"/>
      <c r="F42" s="146"/>
      <c r="G42" s="146"/>
      <c r="H42" s="146"/>
      <c r="I42" s="144"/>
    </row>
    <row r="43" spans="1:9" ht="12.75">
      <c r="A43" s="152"/>
      <c r="B43" s="144"/>
      <c r="C43" s="153"/>
      <c r="D43" s="154"/>
      <c r="E43" s="144"/>
      <c r="F43" s="146"/>
      <c r="G43" s="146"/>
      <c r="H43" s="146"/>
      <c r="I43" s="144"/>
    </row>
    <row r="44" spans="1:9" ht="12.75">
      <c r="A44" s="152"/>
      <c r="B44" s="144"/>
      <c r="C44" s="153"/>
      <c r="D44" s="154"/>
      <c r="E44" s="144"/>
      <c r="F44" s="146"/>
      <c r="G44" s="146"/>
      <c r="H44" s="146"/>
      <c r="I44" s="144"/>
    </row>
    <row r="45" spans="1:9" ht="12.75">
      <c r="A45" s="158">
        <v>5</v>
      </c>
      <c r="B45" s="159" t="s">
        <v>325</v>
      </c>
      <c r="C45" s="160">
        <v>2</v>
      </c>
      <c r="D45" s="161">
        <v>2</v>
      </c>
      <c r="E45" s="159" t="s">
        <v>326</v>
      </c>
      <c r="F45" s="162">
        <v>100000000</v>
      </c>
      <c r="G45" s="162">
        <v>285000000</v>
      </c>
      <c r="H45" s="162">
        <v>315000000</v>
      </c>
      <c r="I45" s="159"/>
    </row>
    <row r="46" spans="1:9" ht="12.75">
      <c r="A46" s="158"/>
      <c r="B46" s="159"/>
      <c r="C46" s="160"/>
      <c r="D46" s="161"/>
      <c r="E46" s="159" t="s">
        <v>327</v>
      </c>
      <c r="F46" s="162"/>
      <c r="G46" s="162"/>
      <c r="H46" s="162"/>
      <c r="I46" s="159"/>
    </row>
    <row r="47" spans="1:9" ht="12.75">
      <c r="A47" s="152"/>
      <c r="B47" s="144"/>
      <c r="C47" s="153">
        <v>2</v>
      </c>
      <c r="D47" s="154">
        <v>2</v>
      </c>
      <c r="E47" s="144" t="s">
        <v>328</v>
      </c>
      <c r="F47" s="146">
        <v>20000000</v>
      </c>
      <c r="G47" s="146">
        <v>60000000</v>
      </c>
      <c r="H47" s="146">
        <v>120000000</v>
      </c>
      <c r="I47" s="144"/>
    </row>
    <row r="48" spans="1:9" ht="12.75">
      <c r="A48" s="152"/>
      <c r="B48" s="144"/>
      <c r="C48" s="153"/>
      <c r="D48" s="154"/>
      <c r="E48" s="144"/>
      <c r="F48" s="146"/>
      <c r="G48" s="146"/>
      <c r="H48" s="146"/>
      <c r="I48" s="144"/>
    </row>
    <row r="49" spans="1:9" ht="12.75">
      <c r="A49" s="152">
        <v>6</v>
      </c>
      <c r="B49" s="144" t="s">
        <v>329</v>
      </c>
      <c r="C49" s="160">
        <v>2</v>
      </c>
      <c r="D49" s="161">
        <v>2</v>
      </c>
      <c r="E49" s="144" t="s">
        <v>330</v>
      </c>
      <c r="F49" s="146">
        <v>300000000</v>
      </c>
      <c r="G49" s="146">
        <v>300000000</v>
      </c>
      <c r="H49" s="146">
        <v>300000000</v>
      </c>
      <c r="I49" s="144"/>
    </row>
    <row r="50" spans="1:9" ht="12.75">
      <c r="A50" s="152"/>
      <c r="B50" s="144" t="s">
        <v>331</v>
      </c>
      <c r="C50" s="153"/>
      <c r="D50" s="154"/>
      <c r="E50" s="145" t="s">
        <v>332</v>
      </c>
      <c r="F50" s="146"/>
      <c r="G50" s="146"/>
      <c r="H50" s="146"/>
      <c r="I50" s="144"/>
    </row>
    <row r="51" spans="1:9" ht="12.75">
      <c r="A51" s="152"/>
      <c r="B51" s="144"/>
      <c r="C51" s="153"/>
      <c r="D51" s="154"/>
      <c r="E51" s="144"/>
      <c r="F51" s="146"/>
      <c r="G51" s="146"/>
      <c r="H51" s="146"/>
      <c r="I51" s="144"/>
    </row>
    <row r="52" spans="1:9" ht="12.75">
      <c r="A52" s="220">
        <v>7</v>
      </c>
      <c r="B52" s="221" t="s">
        <v>333</v>
      </c>
      <c r="C52" s="221">
        <v>2</v>
      </c>
      <c r="D52" s="223">
        <v>1</v>
      </c>
      <c r="E52" s="221" t="s">
        <v>334</v>
      </c>
      <c r="F52" s="225">
        <v>50000000</v>
      </c>
      <c r="G52" s="225">
        <v>100000000</v>
      </c>
      <c r="H52" s="225">
        <v>100000000</v>
      </c>
      <c r="I52" s="224" t="s">
        <v>335</v>
      </c>
    </row>
    <row r="53" spans="1:9" ht="12.75">
      <c r="A53" s="220"/>
      <c r="B53" s="221" t="s">
        <v>336</v>
      </c>
      <c r="C53" s="221"/>
      <c r="D53" s="223"/>
      <c r="E53" s="221" t="s">
        <v>337</v>
      </c>
      <c r="F53" s="225"/>
      <c r="G53" s="225"/>
      <c r="H53" s="225"/>
      <c r="I53" s="224" t="s">
        <v>338</v>
      </c>
    </row>
    <row r="54" spans="1:9" ht="12.75">
      <c r="A54" s="220"/>
      <c r="B54" s="221" t="s">
        <v>339</v>
      </c>
      <c r="C54" s="221"/>
      <c r="D54" s="223"/>
      <c r="E54" s="221"/>
      <c r="F54" s="225"/>
      <c r="G54" s="225"/>
      <c r="H54" s="225"/>
      <c r="I54" s="224" t="s">
        <v>340</v>
      </c>
    </row>
    <row r="55" spans="1:9" ht="12.75">
      <c r="A55" s="152"/>
      <c r="B55" s="144" t="s">
        <v>341</v>
      </c>
      <c r="C55" s="153"/>
      <c r="D55" s="154"/>
      <c r="E55" s="144"/>
      <c r="F55" s="146"/>
      <c r="G55" s="146"/>
      <c r="H55" s="146"/>
      <c r="I55" s="144"/>
    </row>
    <row r="56" spans="1:9" ht="12.75">
      <c r="A56" s="152"/>
      <c r="B56" s="144"/>
      <c r="C56" s="153"/>
      <c r="D56" s="154"/>
      <c r="E56" s="144"/>
      <c r="F56" s="146"/>
      <c r="G56" s="146"/>
      <c r="H56" s="146"/>
      <c r="I56" s="144"/>
    </row>
    <row r="57" spans="1:9" ht="12.75">
      <c r="A57" s="152">
        <v>8</v>
      </c>
      <c r="B57" s="144" t="s">
        <v>342</v>
      </c>
      <c r="C57" s="153">
        <v>2</v>
      </c>
      <c r="D57" s="154">
        <v>3</v>
      </c>
      <c r="E57" s="144" t="s">
        <v>343</v>
      </c>
      <c r="F57" s="146">
        <v>40000000</v>
      </c>
      <c r="G57" s="146">
        <v>125000000</v>
      </c>
      <c r="H57" s="146">
        <v>125000000</v>
      </c>
      <c r="I57" s="144"/>
    </row>
    <row r="58" spans="1:9" ht="12.75">
      <c r="A58" s="163"/>
      <c r="B58" s="144" t="s">
        <v>344</v>
      </c>
      <c r="C58" s="153"/>
      <c r="D58" s="154"/>
      <c r="E58" s="144" t="s">
        <v>345</v>
      </c>
      <c r="F58" s="146"/>
      <c r="G58" s="146"/>
      <c r="H58" s="146"/>
      <c r="I58" s="144"/>
    </row>
    <row r="59" spans="1:9" ht="12.75">
      <c r="A59" s="152"/>
      <c r="B59" s="144"/>
      <c r="C59" s="153"/>
      <c r="D59" s="154"/>
      <c r="E59" s="144"/>
      <c r="F59" s="146"/>
      <c r="G59" s="146"/>
      <c r="H59" s="146"/>
      <c r="I59" s="144"/>
    </row>
    <row r="60" spans="1:9" ht="12.75">
      <c r="A60" s="152">
        <v>9</v>
      </c>
      <c r="B60" s="145" t="s">
        <v>346</v>
      </c>
      <c r="C60" s="153">
        <v>2</v>
      </c>
      <c r="D60" s="154">
        <v>2</v>
      </c>
      <c r="E60" s="145" t="s">
        <v>347</v>
      </c>
      <c r="F60" s="146" t="s">
        <v>348</v>
      </c>
      <c r="G60" s="146">
        <v>100000000</v>
      </c>
      <c r="H60" s="146">
        <v>100000000</v>
      </c>
      <c r="I60" s="144"/>
    </row>
    <row r="61" spans="1:9" ht="12.75">
      <c r="A61" s="152"/>
      <c r="B61" s="144" t="s">
        <v>349</v>
      </c>
      <c r="C61" s="153"/>
      <c r="D61" s="154"/>
      <c r="E61" s="144"/>
      <c r="F61" s="146"/>
      <c r="G61" s="146"/>
      <c r="H61" s="146"/>
      <c r="I61" s="144"/>
    </row>
    <row r="62" spans="1:9" ht="12.75">
      <c r="A62" s="152"/>
      <c r="B62" s="144"/>
      <c r="C62" s="153"/>
      <c r="D62" s="154"/>
      <c r="E62" s="144"/>
      <c r="F62" s="146"/>
      <c r="G62" s="146"/>
      <c r="H62" s="146"/>
      <c r="I62" s="144"/>
    </row>
    <row r="63" spans="1:9" ht="12.75">
      <c r="A63" s="152"/>
      <c r="B63" s="144"/>
      <c r="C63" s="153"/>
      <c r="D63" s="154"/>
      <c r="E63" s="144"/>
      <c r="F63" s="146"/>
      <c r="G63" s="146"/>
      <c r="H63" s="146"/>
      <c r="I63" s="144"/>
    </row>
    <row r="64" spans="1:9" ht="12.75">
      <c r="A64" s="152"/>
      <c r="B64" s="144"/>
      <c r="C64" s="153"/>
      <c r="D64" s="154"/>
      <c r="E64" s="144"/>
      <c r="F64" s="146"/>
      <c r="G64" s="146"/>
      <c r="H64" s="146"/>
      <c r="I64" s="144"/>
    </row>
    <row r="65" spans="1:9" ht="12.75">
      <c r="A65" s="152"/>
      <c r="B65" s="144"/>
      <c r="C65" s="153"/>
      <c r="D65" s="154"/>
      <c r="E65" s="144"/>
      <c r="F65" s="146"/>
      <c r="G65" s="146"/>
      <c r="H65" s="146"/>
      <c r="I65" s="144"/>
    </row>
    <row r="66" spans="1:9" ht="12.75">
      <c r="A66" s="152"/>
      <c r="B66" s="144"/>
      <c r="C66" s="153"/>
      <c r="D66" s="154"/>
      <c r="E66" s="144"/>
      <c r="F66" s="146"/>
      <c r="G66" s="146"/>
      <c r="H66" s="146"/>
      <c r="I66" s="144"/>
    </row>
    <row r="67" spans="1:9" ht="12.75">
      <c r="A67" s="152"/>
      <c r="B67" s="144"/>
      <c r="C67" s="153"/>
      <c r="D67" s="154"/>
      <c r="E67" s="144"/>
      <c r="F67" s="146"/>
      <c r="G67" s="146"/>
      <c r="H67" s="146"/>
      <c r="I67" s="144"/>
    </row>
    <row r="68" spans="1:9" ht="12.75">
      <c r="A68" s="164"/>
      <c r="B68" s="15"/>
      <c r="C68" s="165"/>
      <c r="D68" s="167"/>
      <c r="E68" s="15"/>
      <c r="F68" s="148"/>
      <c r="G68" s="148"/>
      <c r="H68" s="148"/>
      <c r="I68" s="15"/>
    </row>
    <row r="69" spans="4:8" ht="12.75">
      <c r="D69" s="168"/>
      <c r="F69" s="10"/>
      <c r="G69" s="10"/>
      <c r="H69" s="10"/>
    </row>
    <row r="70" spans="4:8" ht="12.75">
      <c r="D70" s="168"/>
      <c r="F70" s="10"/>
      <c r="G70" s="10"/>
      <c r="H70" s="10"/>
    </row>
    <row r="71" spans="1:9" ht="12.75">
      <c r="A71" s="23" t="s">
        <v>350</v>
      </c>
      <c r="B71" s="23"/>
      <c r="C71" s="23" t="s">
        <v>351</v>
      </c>
      <c r="D71" s="169"/>
      <c r="E71" s="23"/>
      <c r="F71" s="71"/>
      <c r="G71" s="71"/>
      <c r="H71" s="71"/>
      <c r="I71" s="23"/>
    </row>
    <row r="72" spans="1:9" ht="12.75">
      <c r="A72" s="287" t="s">
        <v>282</v>
      </c>
      <c r="B72" s="287" t="s">
        <v>283</v>
      </c>
      <c r="C72" s="287" t="s">
        <v>284</v>
      </c>
      <c r="D72" s="288" t="s">
        <v>285</v>
      </c>
      <c r="E72" s="287" t="s">
        <v>286</v>
      </c>
      <c r="F72" s="287" t="s">
        <v>287</v>
      </c>
      <c r="G72" s="287"/>
      <c r="H72" s="287"/>
      <c r="I72" s="287" t="s">
        <v>288</v>
      </c>
    </row>
    <row r="73" spans="1:9" ht="12.75">
      <c r="A73" s="287"/>
      <c r="B73" s="287"/>
      <c r="C73" s="287"/>
      <c r="D73" s="288"/>
      <c r="E73" s="287"/>
      <c r="F73" s="8">
        <v>2011</v>
      </c>
      <c r="G73" s="8">
        <v>2012</v>
      </c>
      <c r="H73" s="8">
        <v>2013</v>
      </c>
      <c r="I73" s="287"/>
    </row>
    <row r="74" spans="1:9" ht="12.75">
      <c r="A74" s="14"/>
      <c r="B74" s="14"/>
      <c r="C74" s="14"/>
      <c r="D74" s="151"/>
      <c r="E74" s="14"/>
      <c r="F74" s="140"/>
      <c r="G74" s="140"/>
      <c r="H74" s="140"/>
      <c r="I74" s="14"/>
    </row>
    <row r="75" spans="1:9" ht="12.75">
      <c r="A75" s="144"/>
      <c r="B75" s="145" t="s">
        <v>346</v>
      </c>
      <c r="C75" s="144">
        <v>3</v>
      </c>
      <c r="D75" s="154">
        <v>2</v>
      </c>
      <c r="E75" s="145" t="s">
        <v>352</v>
      </c>
      <c r="F75" s="146">
        <v>30000000</v>
      </c>
      <c r="G75" s="146">
        <v>30000000</v>
      </c>
      <c r="H75" s="146">
        <v>50000000</v>
      </c>
      <c r="I75" s="144"/>
    </row>
    <row r="76" spans="1:9" ht="12.75">
      <c r="A76" s="144"/>
      <c r="B76" s="145" t="s">
        <v>353</v>
      </c>
      <c r="C76" s="144"/>
      <c r="D76" s="154"/>
      <c r="E76" s="144" t="s">
        <v>354</v>
      </c>
      <c r="F76" s="146"/>
      <c r="G76" s="146"/>
      <c r="H76" s="146"/>
      <c r="I76" s="144"/>
    </row>
    <row r="77" spans="1:9" ht="12.75">
      <c r="A77" s="144"/>
      <c r="B77" s="144"/>
      <c r="C77" s="144"/>
      <c r="D77" s="154"/>
      <c r="E77" s="144" t="s">
        <v>355</v>
      </c>
      <c r="F77" s="146"/>
      <c r="G77" s="146"/>
      <c r="H77" s="146"/>
      <c r="I77" s="144"/>
    </row>
    <row r="78" spans="1:9" ht="12.75">
      <c r="A78" s="144"/>
      <c r="B78" s="144"/>
      <c r="C78" s="153"/>
      <c r="D78" s="154"/>
      <c r="E78" s="144"/>
      <c r="F78" s="146"/>
      <c r="G78" s="146"/>
      <c r="H78" s="146"/>
      <c r="I78" s="144"/>
    </row>
    <row r="79" spans="1:9" ht="12.75">
      <c r="A79" s="144"/>
      <c r="B79" s="144"/>
      <c r="C79" s="144"/>
      <c r="D79" s="154"/>
      <c r="E79" s="144"/>
      <c r="F79" s="152"/>
      <c r="G79" s="152"/>
      <c r="H79" s="152"/>
      <c r="I79" s="144"/>
    </row>
    <row r="80" spans="1:9" ht="12.75">
      <c r="A80" s="15"/>
      <c r="B80" s="15"/>
      <c r="C80" s="15"/>
      <c r="D80" s="167"/>
      <c r="E80" s="15"/>
      <c r="F80" s="170">
        <f>SUM(F6:F79)</f>
        <v>1295004022</v>
      </c>
      <c r="G80" s="170">
        <f>SUM(G6:G79)</f>
        <v>2110004024</v>
      </c>
      <c r="H80" s="170">
        <f>SUM(H6:H79)</f>
        <v>2215004026</v>
      </c>
      <c r="I80" s="15"/>
    </row>
    <row r="81" spans="4:8" ht="12.75">
      <c r="D81" s="168"/>
      <c r="F81" s="10"/>
      <c r="G81" s="10"/>
      <c r="H81" s="10"/>
    </row>
  </sheetData>
  <sheetProtection/>
  <mergeCells count="22">
    <mergeCell ref="E13:E14"/>
    <mergeCell ref="F13:H13"/>
    <mergeCell ref="I13:I14"/>
    <mergeCell ref="A13:A14"/>
    <mergeCell ref="B13:B14"/>
    <mergeCell ref="C13:C14"/>
    <mergeCell ref="D13:D14"/>
    <mergeCell ref="A1:I1"/>
    <mergeCell ref="A4:A5"/>
    <mergeCell ref="B4:B5"/>
    <mergeCell ref="C4:C5"/>
    <mergeCell ref="D4:D5"/>
    <mergeCell ref="E4:E5"/>
    <mergeCell ref="F4:H4"/>
    <mergeCell ref="I4:I5"/>
    <mergeCell ref="E72:E73"/>
    <mergeCell ref="F72:H72"/>
    <mergeCell ref="I72:I73"/>
    <mergeCell ref="A72:A73"/>
    <mergeCell ref="B72:B73"/>
    <mergeCell ref="C72:C73"/>
    <mergeCell ref="D72:D7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G32"/>
  <sheetViews>
    <sheetView zoomScalePageLayoutView="0" workbookViewId="0" topLeftCell="A6">
      <selection activeCell="C30" sqref="C30"/>
    </sheetView>
  </sheetViews>
  <sheetFormatPr defaultColWidth="9.140625" defaultRowHeight="12.75"/>
  <cols>
    <col min="1" max="1" width="12.7109375" style="0" bestFit="1" customWidth="1"/>
    <col min="2" max="2" width="31.421875" style="0" bestFit="1" customWidth="1"/>
    <col min="3" max="3" width="19.7109375" style="0" bestFit="1" customWidth="1"/>
    <col min="4" max="5" width="13.57421875" style="0" bestFit="1" customWidth="1"/>
    <col min="6" max="6" width="4.421875" style="0" bestFit="1" customWidth="1"/>
    <col min="7" max="7" width="12.28125" style="0" bestFit="1" customWidth="1"/>
  </cols>
  <sheetData>
    <row r="1" spans="1:6" ht="12.75" hidden="1">
      <c r="A1" s="295" t="s">
        <v>357</v>
      </c>
      <c r="B1" s="290" t="s">
        <v>358</v>
      </c>
      <c r="C1" s="290" t="s">
        <v>359</v>
      </c>
      <c r="D1" s="290" t="s">
        <v>360</v>
      </c>
      <c r="E1" s="290"/>
      <c r="F1" s="290"/>
    </row>
    <row r="2" spans="1:6" ht="12.75" hidden="1">
      <c r="A2" s="296"/>
      <c r="B2" s="291"/>
      <c r="C2" s="291"/>
      <c r="D2" s="173">
        <v>2011</v>
      </c>
      <c r="E2" s="173">
        <v>2012</v>
      </c>
      <c r="F2" s="173">
        <v>2013</v>
      </c>
    </row>
    <row r="3" spans="1:6" ht="25.5" hidden="1">
      <c r="A3" s="292" t="s">
        <v>308</v>
      </c>
      <c r="B3" s="174" t="s">
        <v>361</v>
      </c>
      <c r="C3" s="175" t="s">
        <v>362</v>
      </c>
      <c r="D3" s="176">
        <v>50000000</v>
      </c>
      <c r="E3" s="177">
        <v>0</v>
      </c>
      <c r="F3" s="178"/>
    </row>
    <row r="4" spans="1:6" ht="38.25" hidden="1">
      <c r="A4" s="292"/>
      <c r="B4" s="174" t="s">
        <v>363</v>
      </c>
      <c r="C4" s="175" t="s">
        <v>364</v>
      </c>
      <c r="D4" s="176">
        <v>50000000</v>
      </c>
      <c r="E4" s="176">
        <v>100000000</v>
      </c>
      <c r="F4" s="178"/>
    </row>
    <row r="5" spans="1:6" ht="12.75" hidden="1">
      <c r="A5" s="179"/>
      <c r="B5" s="178" t="s">
        <v>365</v>
      </c>
      <c r="C5" s="178"/>
      <c r="D5" s="180">
        <f>SUM(D3:D4)</f>
        <v>100000000</v>
      </c>
      <c r="E5" s="180">
        <f>SUM(E4)</f>
        <v>100000000</v>
      </c>
      <c r="F5" s="178"/>
    </row>
    <row r="6" spans="1:6" ht="38.25">
      <c r="A6" s="293" t="s">
        <v>366</v>
      </c>
      <c r="B6" s="181" t="s">
        <v>367</v>
      </c>
      <c r="C6" s="181" t="s">
        <v>368</v>
      </c>
      <c r="D6" s="182">
        <v>55000000</v>
      </c>
      <c r="E6" s="182">
        <v>180950000</v>
      </c>
      <c r="F6" s="178"/>
    </row>
    <row r="7" spans="1:6" ht="25.5">
      <c r="A7" s="293"/>
      <c r="B7" s="183" t="s">
        <v>369</v>
      </c>
      <c r="C7" s="181" t="s">
        <v>370</v>
      </c>
      <c r="D7" s="184"/>
      <c r="E7" s="184">
        <v>0</v>
      </c>
      <c r="F7" s="178"/>
    </row>
    <row r="8" spans="1:6" ht="63.75">
      <c r="A8" s="293"/>
      <c r="B8" s="183" t="s">
        <v>371</v>
      </c>
      <c r="C8" s="181" t="s">
        <v>372</v>
      </c>
      <c r="D8" s="184">
        <v>100000000</v>
      </c>
      <c r="E8" s="184">
        <v>100000000</v>
      </c>
      <c r="F8" s="178"/>
    </row>
    <row r="9" spans="1:6" ht="63.75">
      <c r="A9" s="293"/>
      <c r="B9" s="183" t="s">
        <v>373</v>
      </c>
      <c r="C9" s="181" t="s">
        <v>374</v>
      </c>
      <c r="D9" s="236">
        <v>100000000</v>
      </c>
      <c r="E9" s="236">
        <v>385000000</v>
      </c>
      <c r="F9" s="178"/>
    </row>
    <row r="10" spans="1:6" ht="25.5">
      <c r="A10" s="293"/>
      <c r="B10" s="181" t="s">
        <v>375</v>
      </c>
      <c r="C10" s="183" t="s">
        <v>376</v>
      </c>
      <c r="D10" s="236">
        <v>20000000</v>
      </c>
      <c r="E10" s="236">
        <v>44000000</v>
      </c>
      <c r="F10" s="178"/>
    </row>
    <row r="11" spans="1:6" ht="12.75">
      <c r="A11" s="178"/>
      <c r="B11" s="178" t="s">
        <v>377</v>
      </c>
      <c r="C11" s="178"/>
      <c r="D11" s="180">
        <f>SUM(D6:D10)</f>
        <v>275000000</v>
      </c>
      <c r="E11" s="178"/>
      <c r="F11" s="178"/>
    </row>
    <row r="12" spans="1:6" ht="25.5">
      <c r="A12" s="294" t="s">
        <v>378</v>
      </c>
      <c r="B12" s="185" t="s">
        <v>379</v>
      </c>
      <c r="C12" s="178" t="s">
        <v>380</v>
      </c>
      <c r="D12" s="186">
        <v>100000000</v>
      </c>
      <c r="E12" s="186">
        <v>125000000</v>
      </c>
      <c r="F12" s="178"/>
    </row>
    <row r="13" spans="1:7" s="218" customFormat="1" ht="25.5">
      <c r="A13" s="294"/>
      <c r="B13" s="166" t="s">
        <v>381</v>
      </c>
      <c r="C13" s="166" t="s">
        <v>382</v>
      </c>
      <c r="D13" s="231">
        <v>100000000</v>
      </c>
      <c r="E13" s="231">
        <v>125000000</v>
      </c>
      <c r="F13" s="232"/>
      <c r="G13" s="218" t="s">
        <v>446</v>
      </c>
    </row>
    <row r="14" spans="1:6" ht="12.75">
      <c r="A14" s="178"/>
      <c r="B14" s="178" t="s">
        <v>383</v>
      </c>
      <c r="C14" s="178"/>
      <c r="D14" s="180">
        <f>SUM(D12:D13)</f>
        <v>200000000</v>
      </c>
      <c r="E14" s="178"/>
      <c r="F14" s="178"/>
    </row>
    <row r="15" spans="1:6" ht="12.75">
      <c r="A15" s="293" t="s">
        <v>384</v>
      </c>
      <c r="B15" s="178" t="s">
        <v>385</v>
      </c>
      <c r="C15" s="188">
        <v>0.15</v>
      </c>
      <c r="D15" s="212">
        <v>90000000</v>
      </c>
      <c r="E15" s="212">
        <v>100000000</v>
      </c>
      <c r="F15" s="178"/>
    </row>
    <row r="16" spans="1:6" ht="12.75">
      <c r="A16" s="293"/>
      <c r="B16" s="178" t="s">
        <v>386</v>
      </c>
      <c r="C16" s="178"/>
      <c r="D16" s="178"/>
      <c r="E16" s="178"/>
      <c r="F16" s="178"/>
    </row>
    <row r="17" spans="1:6" ht="38.25">
      <c r="A17" s="293"/>
      <c r="B17" s="189" t="s">
        <v>387</v>
      </c>
      <c r="C17" s="190" t="s">
        <v>388</v>
      </c>
      <c r="D17" s="187">
        <v>30000000</v>
      </c>
      <c r="E17" s="187">
        <v>80000000</v>
      </c>
      <c r="F17" s="178"/>
    </row>
    <row r="18" spans="1:6" ht="38.25">
      <c r="A18" s="293"/>
      <c r="B18" s="191" t="s">
        <v>389</v>
      </c>
      <c r="C18" s="192" t="s">
        <v>390</v>
      </c>
      <c r="D18" s="213">
        <v>35000000</v>
      </c>
      <c r="E18" s="213">
        <v>50000000</v>
      </c>
      <c r="F18" s="178"/>
    </row>
    <row r="19" spans="1:6" ht="38.25">
      <c r="A19" s="293"/>
      <c r="B19" s="190" t="s">
        <v>391</v>
      </c>
      <c r="C19" s="193" t="s">
        <v>392</v>
      </c>
      <c r="D19" s="213">
        <v>55000000</v>
      </c>
      <c r="E19" s="213">
        <v>80000000</v>
      </c>
      <c r="F19" s="178"/>
    </row>
    <row r="20" spans="1:6" ht="25.5">
      <c r="A20" s="293"/>
      <c r="B20" s="190" t="s">
        <v>393</v>
      </c>
      <c r="C20" s="190" t="s">
        <v>394</v>
      </c>
      <c r="D20" s="233">
        <v>20000000</v>
      </c>
      <c r="E20" s="178"/>
      <c r="F20" s="195">
        <v>0</v>
      </c>
    </row>
    <row r="21" spans="1:6" ht="25.5">
      <c r="A21" s="293"/>
      <c r="B21" s="190" t="s">
        <v>395</v>
      </c>
      <c r="C21" s="190" t="s">
        <v>396</v>
      </c>
      <c r="D21" s="233">
        <v>20000000</v>
      </c>
      <c r="E21" s="178"/>
      <c r="F21" s="195">
        <v>0</v>
      </c>
    </row>
    <row r="22" spans="1:6" ht="25.5">
      <c r="A22" s="293"/>
      <c r="B22" s="190" t="s">
        <v>397</v>
      </c>
      <c r="C22" s="190" t="s">
        <v>398</v>
      </c>
      <c r="D22" s="233">
        <v>10000000</v>
      </c>
      <c r="E22" s="178"/>
      <c r="F22" s="195">
        <v>0</v>
      </c>
    </row>
    <row r="23" spans="1:7" ht="38.25">
      <c r="A23" s="293"/>
      <c r="B23" s="190" t="s">
        <v>399</v>
      </c>
      <c r="C23" s="190" t="s">
        <v>400</v>
      </c>
      <c r="D23" s="214">
        <v>25000000</v>
      </c>
      <c r="E23" s="178"/>
      <c r="F23" s="190"/>
      <c r="G23" s="12">
        <f>D15+D18+D19+D23</f>
        <v>205000000</v>
      </c>
    </row>
    <row r="24" spans="1:6" ht="25.5">
      <c r="A24" s="293"/>
      <c r="B24" s="190" t="s">
        <v>401</v>
      </c>
      <c r="C24" s="190" t="s">
        <v>402</v>
      </c>
      <c r="D24" s="194"/>
      <c r="E24" s="178"/>
      <c r="F24" s="190"/>
    </row>
    <row r="25" spans="1:6" s="218" customFormat="1" ht="12.75">
      <c r="A25" s="293"/>
      <c r="B25" s="234" t="s">
        <v>403</v>
      </c>
      <c r="C25" s="237" t="s">
        <v>404</v>
      </c>
      <c r="D25" s="235">
        <v>25000000</v>
      </c>
      <c r="E25" s="232"/>
      <c r="F25" s="237"/>
    </row>
    <row r="26" spans="1:6" ht="12.75">
      <c r="A26" s="293"/>
      <c r="B26" s="196" t="s">
        <v>405</v>
      </c>
      <c r="C26" s="190" t="s">
        <v>406</v>
      </c>
      <c r="D26" s="233">
        <v>50000000</v>
      </c>
      <c r="E26" s="178"/>
      <c r="F26" s="190"/>
    </row>
    <row r="27" spans="1:6" ht="12.75">
      <c r="A27" s="293"/>
      <c r="B27" s="196" t="s">
        <v>407</v>
      </c>
      <c r="C27" s="190" t="s">
        <v>408</v>
      </c>
      <c r="D27" s="233">
        <v>25000000</v>
      </c>
      <c r="E27" s="178"/>
      <c r="F27" s="190"/>
    </row>
    <row r="28" spans="1:6" ht="51">
      <c r="A28" s="293"/>
      <c r="B28" s="196" t="s">
        <v>409</v>
      </c>
      <c r="C28" s="196" t="s">
        <v>410</v>
      </c>
      <c r="D28" s="233">
        <v>10000000</v>
      </c>
      <c r="E28" s="178"/>
      <c r="F28" s="190"/>
    </row>
    <row r="29" spans="1:6" ht="12.75">
      <c r="A29" s="178"/>
      <c r="B29" s="178" t="s">
        <v>411</v>
      </c>
      <c r="C29" s="178"/>
      <c r="D29" s="194">
        <f>SUM(D15:D28)</f>
        <v>395000000</v>
      </c>
      <c r="E29" s="178"/>
      <c r="F29" s="178"/>
    </row>
    <row r="30" spans="1:6" s="218" customFormat="1" ht="51">
      <c r="A30" s="232" t="s">
        <v>412</v>
      </c>
      <c r="B30" s="234" t="s">
        <v>413</v>
      </c>
      <c r="C30" s="234" t="s">
        <v>414</v>
      </c>
      <c r="D30" s="235">
        <v>30000000</v>
      </c>
      <c r="E30" s="232"/>
      <c r="F30" s="232"/>
    </row>
    <row r="31" spans="1:6" ht="16.5">
      <c r="A31" s="197"/>
      <c r="B31" s="178" t="s">
        <v>415</v>
      </c>
      <c r="C31" s="197"/>
      <c r="D31" s="197"/>
      <c r="E31" s="197"/>
      <c r="F31" s="197"/>
    </row>
    <row r="32" spans="1:6" ht="16.5">
      <c r="A32" s="198"/>
      <c r="B32" s="198"/>
      <c r="C32" s="198"/>
      <c r="D32" s="300">
        <f>D30+D29+D14+D11+D5</f>
        <v>1000000000</v>
      </c>
      <c r="E32" s="300">
        <f>SUM(E6:E30)</f>
        <v>1269950000</v>
      </c>
      <c r="F32" s="198"/>
    </row>
  </sheetData>
  <sheetProtection/>
  <mergeCells count="8">
    <mergeCell ref="A12:A13"/>
    <mergeCell ref="A15:A28"/>
    <mergeCell ref="A1:A2"/>
    <mergeCell ref="B1:B2"/>
    <mergeCell ref="C1:C2"/>
    <mergeCell ref="D1:F1"/>
    <mergeCell ref="A3:A4"/>
    <mergeCell ref="A6:A1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I46"/>
  <sheetViews>
    <sheetView zoomScalePageLayoutView="0" workbookViewId="0" topLeftCell="A2">
      <selection activeCell="E25" sqref="E25:F25"/>
    </sheetView>
  </sheetViews>
  <sheetFormatPr defaultColWidth="9.140625" defaultRowHeight="12.75"/>
  <cols>
    <col min="1" max="1" width="5.8515625" style="0" customWidth="1"/>
    <col min="2" max="2" width="23.421875" style="0" bestFit="1" customWidth="1"/>
    <col min="3" max="3" width="10.57421875" style="0" bestFit="1" customWidth="1"/>
    <col min="4" max="4" width="10.28125" style="0" bestFit="1" customWidth="1"/>
    <col min="5" max="5" width="52.140625" style="0" bestFit="1" customWidth="1"/>
    <col min="6" max="6" width="14.00390625" style="0" bestFit="1" customWidth="1"/>
    <col min="7" max="8" width="5.00390625" style="0" bestFit="1" customWidth="1"/>
    <col min="9" max="9" width="25.140625" style="0" bestFit="1" customWidth="1"/>
  </cols>
  <sheetData>
    <row r="1" spans="1:9" ht="18">
      <c r="A1" s="276" t="s">
        <v>477</v>
      </c>
      <c r="B1" s="276"/>
      <c r="C1" s="276"/>
      <c r="D1" s="276"/>
      <c r="E1" s="276"/>
      <c r="F1" s="276"/>
      <c r="G1" s="276"/>
      <c r="H1" s="276"/>
      <c r="I1" s="276"/>
    </row>
    <row r="3" spans="1:5" ht="12.75">
      <c r="A3" s="23" t="s">
        <v>478</v>
      </c>
      <c r="B3" s="23"/>
      <c r="C3" s="23"/>
      <c r="D3" s="23"/>
      <c r="E3" s="23"/>
    </row>
    <row r="5" spans="1:9" ht="12.75">
      <c r="A5" s="301" t="s">
        <v>282</v>
      </c>
      <c r="B5" s="301" t="s">
        <v>283</v>
      </c>
      <c r="C5" s="301" t="s">
        <v>416</v>
      </c>
      <c r="D5" s="301" t="s">
        <v>285</v>
      </c>
      <c r="E5" s="301" t="s">
        <v>286</v>
      </c>
      <c r="F5" s="297" t="s">
        <v>417</v>
      </c>
      <c r="G5" s="298"/>
      <c r="H5" s="299"/>
      <c r="I5" s="301" t="s">
        <v>479</v>
      </c>
    </row>
    <row r="6" spans="1:9" ht="12.75">
      <c r="A6" s="302"/>
      <c r="B6" s="302"/>
      <c r="C6" s="302"/>
      <c r="D6" s="302"/>
      <c r="E6" s="302"/>
      <c r="F6" s="40">
        <v>2011</v>
      </c>
      <c r="G6" s="40">
        <v>2012</v>
      </c>
      <c r="H6" s="40">
        <v>2013</v>
      </c>
      <c r="I6" s="302"/>
    </row>
    <row r="7" spans="1:9" ht="12.75">
      <c r="A7" s="202">
        <v>1</v>
      </c>
      <c r="B7" s="203" t="s">
        <v>480</v>
      </c>
      <c r="C7" s="202" t="s">
        <v>3</v>
      </c>
      <c r="D7" s="202">
        <v>3</v>
      </c>
      <c r="E7" s="203" t="s">
        <v>418</v>
      </c>
      <c r="F7" s="204">
        <v>100000000</v>
      </c>
      <c r="G7" s="204"/>
      <c r="H7" s="204"/>
      <c r="I7" s="203"/>
    </row>
    <row r="8" spans="1:9" ht="12.75">
      <c r="A8" s="202"/>
      <c r="B8" s="203" t="s">
        <v>481</v>
      </c>
      <c r="C8" s="205"/>
      <c r="D8" s="205"/>
      <c r="E8" s="206"/>
      <c r="F8" s="207"/>
      <c r="G8" s="207"/>
      <c r="H8" s="207"/>
      <c r="I8" s="208"/>
    </row>
    <row r="9" spans="1:9" ht="12.75">
      <c r="A9" s="205"/>
      <c r="B9" s="208"/>
      <c r="C9" s="205" t="s">
        <v>3</v>
      </c>
      <c r="D9" s="205">
        <v>3</v>
      </c>
      <c r="E9" s="208" t="s">
        <v>419</v>
      </c>
      <c r="F9" s="207">
        <v>10000000</v>
      </c>
      <c r="G9" s="207"/>
      <c r="H9" s="207"/>
      <c r="I9" s="208"/>
    </row>
    <row r="10" spans="1:9" ht="12.75">
      <c r="A10" s="205"/>
      <c r="B10" s="208"/>
      <c r="C10" s="205"/>
      <c r="D10" s="205"/>
      <c r="E10" s="208" t="s">
        <v>420</v>
      </c>
      <c r="F10" s="207"/>
      <c r="G10" s="207"/>
      <c r="H10" s="207"/>
      <c r="I10" s="208"/>
    </row>
    <row r="11" spans="1:9" ht="12.75">
      <c r="A11" s="205"/>
      <c r="B11" s="208"/>
      <c r="C11" s="205"/>
      <c r="D11" s="205"/>
      <c r="E11" s="208"/>
      <c r="F11" s="207"/>
      <c r="G11" s="207"/>
      <c r="H11" s="207"/>
      <c r="I11" s="208"/>
    </row>
    <row r="12" spans="1:9" ht="12.75">
      <c r="A12" s="205">
        <v>2</v>
      </c>
      <c r="B12" s="208" t="s">
        <v>482</v>
      </c>
      <c r="C12" s="205" t="s">
        <v>3</v>
      </c>
      <c r="D12" s="205">
        <v>1</v>
      </c>
      <c r="E12" s="208" t="s">
        <v>421</v>
      </c>
      <c r="F12" s="207">
        <v>515000000</v>
      </c>
      <c r="G12" s="207"/>
      <c r="H12" s="207"/>
      <c r="I12" s="208"/>
    </row>
    <row r="13" spans="1:9" ht="12.75">
      <c r="A13" s="205"/>
      <c r="B13" s="208"/>
      <c r="C13" s="205"/>
      <c r="D13" s="205"/>
      <c r="E13" s="208"/>
      <c r="F13" s="207">
        <v>75000000</v>
      </c>
      <c r="G13" s="207"/>
      <c r="H13" s="207"/>
      <c r="I13" s="208" t="s">
        <v>483</v>
      </c>
    </row>
    <row r="14" spans="1:9" ht="12.75">
      <c r="A14" s="205"/>
      <c r="B14" s="208"/>
      <c r="C14" s="205"/>
      <c r="D14" s="205"/>
      <c r="E14" s="208"/>
      <c r="F14" s="207"/>
      <c r="G14" s="207"/>
      <c r="H14" s="207"/>
      <c r="I14" s="208"/>
    </row>
    <row r="15" spans="1:9" ht="12.75">
      <c r="A15" s="205"/>
      <c r="B15" s="208"/>
      <c r="C15" s="205" t="s">
        <v>3</v>
      </c>
      <c r="D15" s="205">
        <v>1</v>
      </c>
      <c r="E15" s="208" t="s">
        <v>422</v>
      </c>
      <c r="F15" s="207"/>
      <c r="G15" s="207"/>
      <c r="H15" s="207"/>
      <c r="I15" s="208"/>
    </row>
    <row r="16" spans="1:9" ht="12.75">
      <c r="A16" s="205"/>
      <c r="B16" s="208"/>
      <c r="D16" s="208"/>
      <c r="E16" s="208" t="s">
        <v>423</v>
      </c>
      <c r="F16" s="207">
        <v>70000000</v>
      </c>
      <c r="G16" s="207"/>
      <c r="H16" s="207"/>
      <c r="I16" s="208"/>
    </row>
    <row r="17" spans="1:9" ht="12.75">
      <c r="A17" s="205"/>
      <c r="B17" s="208"/>
      <c r="C17" s="205"/>
      <c r="D17" s="205"/>
      <c r="G17" s="207"/>
      <c r="H17" s="207"/>
      <c r="I17" s="208"/>
    </row>
    <row r="18" spans="1:9" ht="12.75">
      <c r="A18" s="205"/>
      <c r="B18" s="208"/>
      <c r="C18" s="205" t="s">
        <v>3</v>
      </c>
      <c r="D18" s="205">
        <v>1</v>
      </c>
      <c r="E18" s="208" t="s">
        <v>424</v>
      </c>
      <c r="F18" s="207"/>
      <c r="G18" s="207"/>
      <c r="H18" s="207"/>
      <c r="I18" s="208"/>
    </row>
    <row r="19" spans="1:9" ht="12.75">
      <c r="A19" s="205"/>
      <c r="B19" s="208"/>
      <c r="C19" s="205"/>
      <c r="D19" s="205"/>
      <c r="E19" s="208" t="s">
        <v>425</v>
      </c>
      <c r="F19" s="207">
        <v>90000000</v>
      </c>
      <c r="G19" s="207"/>
      <c r="H19" s="207"/>
      <c r="I19" s="208"/>
    </row>
    <row r="20" spans="1:9" ht="12.75">
      <c r="A20" s="205"/>
      <c r="B20" s="208"/>
      <c r="C20" s="205"/>
      <c r="D20" s="205"/>
      <c r="E20" s="208" t="s">
        <v>426</v>
      </c>
      <c r="F20" s="207"/>
      <c r="G20" s="207"/>
      <c r="H20" s="207"/>
      <c r="I20" s="208"/>
    </row>
    <row r="21" spans="1:9" ht="12.75">
      <c r="A21" s="205"/>
      <c r="B21" s="208"/>
      <c r="C21" s="205"/>
      <c r="D21" s="205"/>
      <c r="E21" s="208"/>
      <c r="F21" s="207"/>
      <c r="G21" s="207"/>
      <c r="H21" s="207"/>
      <c r="I21" s="208"/>
    </row>
    <row r="22" spans="1:9" ht="12.75">
      <c r="A22" s="205">
        <v>3</v>
      </c>
      <c r="B22" s="208" t="s">
        <v>484</v>
      </c>
      <c r="C22" s="205" t="s">
        <v>3</v>
      </c>
      <c r="D22" s="205">
        <v>1</v>
      </c>
      <c r="E22" s="208" t="s">
        <v>427</v>
      </c>
      <c r="F22" s="207">
        <v>160000000</v>
      </c>
      <c r="G22" s="207"/>
      <c r="H22" s="207"/>
      <c r="I22" s="208"/>
    </row>
    <row r="23" spans="1:9" ht="12.75">
      <c r="A23" s="205"/>
      <c r="B23" s="208" t="s">
        <v>485</v>
      </c>
      <c r="C23" s="205"/>
      <c r="D23" s="205"/>
      <c r="E23" s="208" t="s">
        <v>428</v>
      </c>
      <c r="F23" s="207"/>
      <c r="G23" s="207"/>
      <c r="H23" s="207"/>
      <c r="I23" s="208"/>
    </row>
    <row r="24" spans="1:9" ht="12.75">
      <c r="A24" s="205"/>
      <c r="B24" s="208"/>
      <c r="C24" s="205"/>
      <c r="D24" s="205"/>
      <c r="E24" s="208"/>
      <c r="F24" s="207"/>
      <c r="G24" s="207"/>
      <c r="H24" s="207"/>
      <c r="I24" s="208"/>
    </row>
    <row r="25" spans="1:9" ht="12.75">
      <c r="A25" s="205"/>
      <c r="B25" s="208"/>
      <c r="C25" s="205" t="s">
        <v>3</v>
      </c>
      <c r="D25" s="205">
        <v>2</v>
      </c>
      <c r="E25" s="208" t="s">
        <v>429</v>
      </c>
      <c r="F25" s="207">
        <v>50000000</v>
      </c>
      <c r="G25" s="207"/>
      <c r="H25" s="207"/>
      <c r="I25" s="208"/>
    </row>
    <row r="26" spans="1:9" ht="12.75">
      <c r="A26" s="205"/>
      <c r="B26" s="208"/>
      <c r="C26" s="205"/>
      <c r="D26" s="205"/>
      <c r="E26" s="208"/>
      <c r="F26" s="207"/>
      <c r="G26" s="207"/>
      <c r="H26" s="207"/>
      <c r="I26" s="208"/>
    </row>
    <row r="27" spans="1:9" ht="12.75">
      <c r="A27" s="205"/>
      <c r="B27" s="208"/>
      <c r="C27" s="205" t="s">
        <v>3</v>
      </c>
      <c r="D27" s="205">
        <v>1</v>
      </c>
      <c r="E27" s="208" t="s">
        <v>486</v>
      </c>
      <c r="F27" s="207">
        <v>20000000</v>
      </c>
      <c r="G27" s="207"/>
      <c r="H27" s="207"/>
      <c r="I27" s="208"/>
    </row>
    <row r="28" spans="1:9" ht="12.75">
      <c r="A28" s="205"/>
      <c r="B28" s="208"/>
      <c r="C28" s="205"/>
      <c r="D28" s="205"/>
      <c r="E28" s="208" t="s">
        <v>430</v>
      </c>
      <c r="F28" s="207"/>
      <c r="G28" s="207"/>
      <c r="H28" s="207"/>
      <c r="I28" s="208"/>
    </row>
    <row r="29" spans="1:9" ht="12.75">
      <c r="A29" s="205"/>
      <c r="B29" s="208"/>
      <c r="C29" s="205"/>
      <c r="D29" s="205"/>
      <c r="E29" s="208"/>
      <c r="F29" s="207"/>
      <c r="G29" s="207"/>
      <c r="H29" s="207"/>
      <c r="I29" s="208"/>
    </row>
    <row r="30" spans="1:9" ht="12.75">
      <c r="A30" s="205"/>
      <c r="B30" s="208"/>
      <c r="C30" s="205" t="s">
        <v>3</v>
      </c>
      <c r="D30" s="205">
        <v>1</v>
      </c>
      <c r="E30" s="208" t="s">
        <v>431</v>
      </c>
      <c r="F30" s="207">
        <v>75000000</v>
      </c>
      <c r="G30" s="207"/>
      <c r="H30" s="207"/>
      <c r="I30" s="208"/>
    </row>
    <row r="31" spans="1:9" ht="12.75">
      <c r="A31" s="205"/>
      <c r="B31" s="208"/>
      <c r="C31" s="205"/>
      <c r="D31" s="205"/>
      <c r="E31" s="208"/>
      <c r="F31" s="207"/>
      <c r="G31" s="207"/>
      <c r="H31" s="207"/>
      <c r="I31" s="208"/>
    </row>
    <row r="32" spans="1:9" ht="12.75">
      <c r="A32" s="205">
        <v>4</v>
      </c>
      <c r="B32" s="208" t="s">
        <v>487</v>
      </c>
      <c r="C32" s="205" t="s">
        <v>3</v>
      </c>
      <c r="D32" s="205">
        <v>2</v>
      </c>
      <c r="E32" s="208" t="s">
        <v>432</v>
      </c>
      <c r="F32" s="207">
        <v>2087500000</v>
      </c>
      <c r="G32" s="207"/>
      <c r="H32" s="207"/>
      <c r="I32" s="208" t="s">
        <v>488</v>
      </c>
    </row>
    <row r="33" spans="1:9" ht="12.75">
      <c r="A33" s="205"/>
      <c r="B33" s="208"/>
      <c r="C33" s="205"/>
      <c r="D33" s="205"/>
      <c r="E33" s="208" t="s">
        <v>433</v>
      </c>
      <c r="F33" s="207">
        <v>187500000</v>
      </c>
      <c r="G33" s="207"/>
      <c r="H33" s="207"/>
      <c r="I33" s="208"/>
    </row>
    <row r="34" spans="1:9" ht="12.75">
      <c r="A34" s="205"/>
      <c r="B34" s="208"/>
      <c r="C34" s="205"/>
      <c r="D34" s="205"/>
      <c r="E34" s="208"/>
      <c r="F34" s="207"/>
      <c r="G34" s="207"/>
      <c r="H34" s="207"/>
      <c r="I34" s="208"/>
    </row>
    <row r="35" spans="1:9" ht="12.75">
      <c r="A35" s="205">
        <v>5</v>
      </c>
      <c r="B35" s="208" t="s">
        <v>308</v>
      </c>
      <c r="C35" s="205" t="s">
        <v>3</v>
      </c>
      <c r="D35" s="205">
        <v>1</v>
      </c>
      <c r="E35" s="208" t="s">
        <v>489</v>
      </c>
      <c r="F35" s="207">
        <v>110000000</v>
      </c>
      <c r="G35" s="207"/>
      <c r="H35" s="207"/>
      <c r="I35" s="208" t="s">
        <v>490</v>
      </c>
    </row>
    <row r="36" spans="1:9" ht="12.75">
      <c r="A36" s="205"/>
      <c r="B36" s="208"/>
      <c r="C36" s="205"/>
      <c r="D36" s="205"/>
      <c r="E36" s="208"/>
      <c r="F36" s="207"/>
      <c r="G36" s="207"/>
      <c r="H36" s="207"/>
      <c r="I36" s="208"/>
    </row>
    <row r="37" spans="1:9" ht="13.5" thickBot="1">
      <c r="A37" s="209"/>
      <c r="B37" s="210"/>
      <c r="C37" s="209"/>
      <c r="D37" s="209"/>
      <c r="E37" s="210"/>
      <c r="F37" s="211">
        <f>SUM(F7:F35)</f>
        <v>3550000000</v>
      </c>
      <c r="G37" s="211"/>
      <c r="H37" s="211"/>
      <c r="I37" s="210"/>
    </row>
    <row r="38" spans="6:8" ht="13.5" thickTop="1">
      <c r="F38" s="12"/>
      <c r="G38" s="12"/>
      <c r="H38" s="12"/>
    </row>
    <row r="39" ht="12.75">
      <c r="A39" t="s">
        <v>491</v>
      </c>
    </row>
    <row r="41" spans="1:9" ht="12.75">
      <c r="A41" s="199" t="s">
        <v>282</v>
      </c>
      <c r="B41" s="199" t="s">
        <v>283</v>
      </c>
      <c r="C41" s="199" t="s">
        <v>416</v>
      </c>
      <c r="D41" s="199" t="s">
        <v>285</v>
      </c>
      <c r="E41" s="199" t="s">
        <v>286</v>
      </c>
      <c r="F41" s="297" t="s">
        <v>417</v>
      </c>
      <c r="G41" s="298"/>
      <c r="H41" s="299"/>
      <c r="I41" s="199" t="s">
        <v>492</v>
      </c>
    </row>
    <row r="42" spans="1:9" ht="12.75">
      <c r="A42" s="201"/>
      <c r="B42" s="201"/>
      <c r="C42" s="200"/>
      <c r="D42" s="200"/>
      <c r="E42" s="201"/>
      <c r="F42" s="40">
        <v>2011</v>
      </c>
      <c r="G42" s="40">
        <v>2012</v>
      </c>
      <c r="H42" s="40">
        <v>2013</v>
      </c>
      <c r="I42" s="303"/>
    </row>
    <row r="43" spans="1:9" ht="12.75">
      <c r="A43" s="205">
        <v>1</v>
      </c>
      <c r="B43" s="208" t="s">
        <v>493</v>
      </c>
      <c r="C43" s="205" t="s">
        <v>475</v>
      </c>
      <c r="D43" s="205">
        <v>2</v>
      </c>
      <c r="E43" s="208" t="s">
        <v>476</v>
      </c>
      <c r="F43" s="207">
        <v>20000000</v>
      </c>
      <c r="G43" s="207"/>
      <c r="H43" s="207"/>
      <c r="I43" s="208"/>
    </row>
    <row r="44" spans="1:9" ht="12.75">
      <c r="A44" s="205"/>
      <c r="B44" s="208" t="s">
        <v>494</v>
      </c>
      <c r="C44" s="205"/>
      <c r="D44" s="205"/>
      <c r="E44" s="206"/>
      <c r="F44" s="304"/>
      <c r="G44" s="207"/>
      <c r="H44" s="304"/>
      <c r="I44" s="208"/>
    </row>
    <row r="45" spans="1:9" ht="13.5" thickBot="1">
      <c r="A45" s="209"/>
      <c r="B45" s="210"/>
      <c r="C45" s="209"/>
      <c r="D45" s="209"/>
      <c r="E45" s="210"/>
      <c r="F45" s="211">
        <v>20000000</v>
      </c>
      <c r="G45" s="211"/>
      <c r="H45" s="211"/>
      <c r="I45" s="210"/>
    </row>
    <row r="46" spans="5:8" ht="13.5" thickTop="1">
      <c r="E46" s="10" t="s">
        <v>495</v>
      </c>
      <c r="F46" s="305">
        <f>F37+F45</f>
        <v>3570000000</v>
      </c>
      <c r="G46" s="12"/>
      <c r="H46" s="12"/>
    </row>
  </sheetData>
  <sheetProtection/>
  <mergeCells count="9">
    <mergeCell ref="F41:H41"/>
    <mergeCell ref="A1:I1"/>
    <mergeCell ref="A5:A6"/>
    <mergeCell ref="B5:B6"/>
    <mergeCell ref="C5:C6"/>
    <mergeCell ref="D5:D6"/>
    <mergeCell ref="E5:E6"/>
    <mergeCell ref="F5:H5"/>
    <mergeCell ref="I5:I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E42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21.7109375" style="0" customWidth="1"/>
    <col min="2" max="2" width="16.140625" style="0" customWidth="1"/>
    <col min="3" max="3" width="12.8515625" style="0" customWidth="1"/>
    <col min="4" max="5" width="11.140625" style="0" bestFit="1" customWidth="1"/>
  </cols>
  <sheetData>
    <row r="1" spans="3:4" ht="12.75">
      <c r="C1" s="71" t="s">
        <v>207</v>
      </c>
      <c r="D1" s="23" t="s">
        <v>208</v>
      </c>
    </row>
    <row r="2" spans="1:5" ht="12.75">
      <c r="A2" s="23" t="s">
        <v>182</v>
      </c>
      <c r="B2" t="s">
        <v>190</v>
      </c>
      <c r="C2" s="70">
        <v>1000000</v>
      </c>
      <c r="D2" s="70"/>
      <c r="E2" s="70"/>
    </row>
    <row r="3" spans="1:5" ht="12.75">
      <c r="A3" s="23" t="s">
        <v>183</v>
      </c>
      <c r="B3" t="s">
        <v>191</v>
      </c>
      <c r="C3" s="70">
        <v>850000</v>
      </c>
      <c r="D3" s="70"/>
      <c r="E3" s="70"/>
    </row>
    <row r="4" spans="1:5" ht="12.75">
      <c r="A4" s="23"/>
      <c r="B4" t="s">
        <v>192</v>
      </c>
      <c r="C4" s="70">
        <v>850000</v>
      </c>
      <c r="D4" s="70"/>
      <c r="E4" s="70"/>
    </row>
    <row r="5" spans="1:5" ht="12.75">
      <c r="A5" s="23"/>
      <c r="C5" s="70"/>
      <c r="D5" s="70"/>
      <c r="E5" s="70"/>
    </row>
    <row r="6" spans="1:5" ht="12.75">
      <c r="A6" s="23"/>
      <c r="B6" t="s">
        <v>193</v>
      </c>
      <c r="C6" s="70">
        <v>850000</v>
      </c>
      <c r="D6" s="70"/>
      <c r="E6" s="70"/>
    </row>
    <row r="7" spans="1:5" ht="12.75">
      <c r="A7" s="23" t="s">
        <v>184</v>
      </c>
      <c r="B7" t="s">
        <v>194</v>
      </c>
      <c r="C7" s="70">
        <v>1000000</v>
      </c>
      <c r="D7" s="70">
        <v>500000</v>
      </c>
      <c r="E7" s="70"/>
    </row>
    <row r="8" spans="1:5" ht="12.75">
      <c r="A8" s="23" t="s">
        <v>186</v>
      </c>
      <c r="B8" t="s">
        <v>195</v>
      </c>
      <c r="C8" s="70">
        <v>950000</v>
      </c>
      <c r="D8" s="70">
        <v>500000</v>
      </c>
      <c r="E8" s="70"/>
    </row>
    <row r="9" spans="1:5" ht="12.75">
      <c r="A9" s="23" t="s">
        <v>188</v>
      </c>
      <c r="B9" t="s">
        <v>197</v>
      </c>
      <c r="C9" s="70">
        <v>450000</v>
      </c>
      <c r="D9" s="70">
        <v>450000</v>
      </c>
      <c r="E9" s="70"/>
    </row>
    <row r="10" spans="1:5" ht="12.75">
      <c r="A10" s="23" t="s">
        <v>189</v>
      </c>
      <c r="B10" t="s">
        <v>198</v>
      </c>
      <c r="C10" s="70">
        <v>450000</v>
      </c>
      <c r="D10" s="70">
        <v>450000</v>
      </c>
      <c r="E10" s="70"/>
    </row>
    <row r="11" spans="1:5" ht="12.75">
      <c r="A11" s="23" t="s">
        <v>188</v>
      </c>
      <c r="B11" t="s">
        <v>199</v>
      </c>
      <c r="C11" s="70">
        <v>450000</v>
      </c>
      <c r="D11" s="70">
        <v>450000</v>
      </c>
      <c r="E11" s="70"/>
    </row>
    <row r="12" spans="1:5" ht="12.75">
      <c r="A12" s="23" t="s">
        <v>187</v>
      </c>
      <c r="B12" t="s">
        <v>196</v>
      </c>
      <c r="C12" s="70">
        <v>950000</v>
      </c>
      <c r="D12" s="70">
        <v>500000</v>
      </c>
      <c r="E12" s="70"/>
    </row>
    <row r="13" spans="1:5" ht="12.75">
      <c r="A13" s="23" t="s">
        <v>188</v>
      </c>
      <c r="C13" s="70">
        <v>450000</v>
      </c>
      <c r="D13" s="70">
        <v>450000</v>
      </c>
      <c r="E13" s="70"/>
    </row>
    <row r="14" spans="1:5" ht="12.75">
      <c r="A14" s="23" t="s">
        <v>188</v>
      </c>
      <c r="C14" s="70">
        <v>450000</v>
      </c>
      <c r="D14" s="70">
        <v>450000</v>
      </c>
      <c r="E14" s="70"/>
    </row>
    <row r="15" spans="1:5" ht="12.75">
      <c r="A15" s="23" t="s">
        <v>188</v>
      </c>
      <c r="C15" s="70">
        <v>450000</v>
      </c>
      <c r="D15" s="70">
        <v>450000</v>
      </c>
      <c r="E15" s="70"/>
    </row>
    <row r="16" spans="1:5" ht="12.75">
      <c r="A16" s="23" t="s">
        <v>202</v>
      </c>
      <c r="B16" t="s">
        <v>200</v>
      </c>
      <c r="C16" s="70">
        <v>950000</v>
      </c>
      <c r="D16" s="70">
        <v>500000</v>
      </c>
      <c r="E16" s="70"/>
    </row>
    <row r="17" spans="1:5" ht="12.75">
      <c r="A17" s="23" t="s">
        <v>186</v>
      </c>
      <c r="C17" s="70">
        <v>950000</v>
      </c>
      <c r="D17" s="70">
        <v>500000</v>
      </c>
      <c r="E17" s="70"/>
    </row>
    <row r="18" spans="1:5" ht="12.75">
      <c r="A18" s="23" t="s">
        <v>185</v>
      </c>
      <c r="C18" s="70">
        <v>950000</v>
      </c>
      <c r="D18" s="70">
        <v>450000</v>
      </c>
      <c r="E18" s="70"/>
    </row>
    <row r="19" spans="1:5" ht="12.75">
      <c r="A19" s="75" t="s">
        <v>209</v>
      </c>
      <c r="C19" s="70">
        <v>950000</v>
      </c>
      <c r="D19" s="70">
        <v>450000</v>
      </c>
      <c r="E19" s="70"/>
    </row>
    <row r="20" spans="1:5" ht="12.75">
      <c r="A20" s="23" t="s">
        <v>185</v>
      </c>
      <c r="C20" s="70">
        <v>950000</v>
      </c>
      <c r="D20" s="70">
        <v>450000</v>
      </c>
      <c r="E20" s="70"/>
    </row>
    <row r="21" spans="1:5" ht="12.75">
      <c r="A21" s="75" t="s">
        <v>209</v>
      </c>
      <c r="C21" s="70">
        <v>950000</v>
      </c>
      <c r="D21" s="70">
        <v>450000</v>
      </c>
      <c r="E21" s="70"/>
    </row>
    <row r="22" spans="1:5" ht="12.75">
      <c r="A22" s="23" t="s">
        <v>185</v>
      </c>
      <c r="C22" s="70">
        <v>950000</v>
      </c>
      <c r="D22" s="70">
        <v>450000</v>
      </c>
      <c r="E22" s="70"/>
    </row>
    <row r="23" spans="1:5" ht="12.75">
      <c r="A23" s="75" t="s">
        <v>209</v>
      </c>
      <c r="C23" s="70">
        <v>950000</v>
      </c>
      <c r="D23" s="70">
        <v>450000</v>
      </c>
      <c r="E23" s="70"/>
    </row>
    <row r="24" spans="1:5" ht="12.75">
      <c r="A24" s="23" t="s">
        <v>204</v>
      </c>
      <c r="C24" s="70">
        <v>450000</v>
      </c>
      <c r="D24" s="70">
        <v>450000</v>
      </c>
      <c r="E24" s="70"/>
    </row>
    <row r="25" spans="1:5" ht="12.75">
      <c r="A25" s="23" t="s">
        <v>201</v>
      </c>
      <c r="B25" t="s">
        <v>205</v>
      </c>
      <c r="C25" s="70">
        <v>950000</v>
      </c>
      <c r="D25" s="70">
        <v>500000</v>
      </c>
      <c r="E25" s="70"/>
    </row>
    <row r="26" spans="1:5" ht="12.75">
      <c r="A26" s="23" t="s">
        <v>186</v>
      </c>
      <c r="C26" s="70">
        <v>950000</v>
      </c>
      <c r="D26" s="70">
        <v>500000</v>
      </c>
      <c r="E26" s="70"/>
    </row>
    <row r="27" spans="1:5" ht="12.75">
      <c r="A27" s="23" t="s">
        <v>185</v>
      </c>
      <c r="C27" s="70">
        <v>950000</v>
      </c>
      <c r="D27" s="70">
        <v>450000</v>
      </c>
      <c r="E27" s="70"/>
    </row>
    <row r="28" spans="1:5" ht="12.75">
      <c r="A28" s="75" t="s">
        <v>209</v>
      </c>
      <c r="C28" s="70">
        <v>950000</v>
      </c>
      <c r="D28" s="70">
        <v>450000</v>
      </c>
      <c r="E28" s="70"/>
    </row>
    <row r="29" spans="1:5" ht="12.75">
      <c r="A29" s="23" t="s">
        <v>185</v>
      </c>
      <c r="C29" s="70">
        <v>950000</v>
      </c>
      <c r="D29" s="70">
        <v>450000</v>
      </c>
      <c r="E29" s="70"/>
    </row>
    <row r="30" spans="1:5" ht="12.75">
      <c r="A30" s="75" t="s">
        <v>209</v>
      </c>
      <c r="C30" s="70">
        <v>950000</v>
      </c>
      <c r="D30" s="70">
        <v>450000</v>
      </c>
      <c r="E30" s="70"/>
    </row>
    <row r="31" spans="1:5" ht="12.75">
      <c r="A31" s="23" t="s">
        <v>185</v>
      </c>
      <c r="C31" s="70">
        <v>950000</v>
      </c>
      <c r="D31" s="70">
        <v>450000</v>
      </c>
      <c r="E31" s="70"/>
    </row>
    <row r="32" spans="1:5" ht="12.75">
      <c r="A32" s="75" t="s">
        <v>209</v>
      </c>
      <c r="C32" s="70">
        <v>950000</v>
      </c>
      <c r="D32" s="70">
        <v>450000</v>
      </c>
      <c r="E32" s="70"/>
    </row>
    <row r="33" spans="1:5" ht="12.75">
      <c r="A33" s="23" t="s">
        <v>204</v>
      </c>
      <c r="C33" s="70">
        <v>450000</v>
      </c>
      <c r="D33" s="70">
        <v>450000</v>
      </c>
      <c r="E33" s="70"/>
    </row>
    <row r="34" spans="1:5" ht="12.75">
      <c r="A34" s="23" t="s">
        <v>203</v>
      </c>
      <c r="B34" t="s">
        <v>206</v>
      </c>
      <c r="C34" s="70">
        <v>950000</v>
      </c>
      <c r="D34" s="70">
        <v>500000</v>
      </c>
      <c r="E34" s="70"/>
    </row>
    <row r="35" spans="1:5" ht="12.75">
      <c r="A35" s="23" t="s">
        <v>186</v>
      </c>
      <c r="C35" s="70">
        <v>950000</v>
      </c>
      <c r="D35" s="70">
        <v>500000</v>
      </c>
      <c r="E35" s="70"/>
    </row>
    <row r="36" spans="1:5" ht="12.75">
      <c r="A36" s="23" t="s">
        <v>185</v>
      </c>
      <c r="C36" s="70">
        <v>950000</v>
      </c>
      <c r="D36" s="70">
        <v>450000</v>
      </c>
      <c r="E36" s="70"/>
    </row>
    <row r="37" spans="1:5" ht="12.75">
      <c r="A37" s="23" t="s">
        <v>185</v>
      </c>
      <c r="C37" s="70">
        <v>950000</v>
      </c>
      <c r="D37" s="70">
        <v>450000</v>
      </c>
      <c r="E37" s="70"/>
    </row>
    <row r="38" spans="1:5" ht="12.75">
      <c r="A38" s="23" t="s">
        <v>204</v>
      </c>
      <c r="C38" s="70">
        <v>450000</v>
      </c>
      <c r="D38" s="70">
        <v>450000</v>
      </c>
      <c r="E38" s="70"/>
    </row>
    <row r="39" spans="3:5" ht="12.75">
      <c r="C39" s="70">
        <f>SUM(C2:C38)</f>
        <v>29500000</v>
      </c>
      <c r="D39" s="70">
        <f>SUM(D7:D38)</f>
        <v>14850000</v>
      </c>
      <c r="E39" s="70"/>
    </row>
    <row r="40" spans="3:5" ht="12.75">
      <c r="C40" s="70">
        <f>C39*12</f>
        <v>354000000</v>
      </c>
      <c r="D40" s="70">
        <f>D39*12</f>
        <v>178200000</v>
      </c>
      <c r="E40" s="70">
        <f>C40+D40</f>
        <v>532200000</v>
      </c>
    </row>
    <row r="41" ht="12.75">
      <c r="A41" s="23"/>
    </row>
    <row r="42" ht="12.75">
      <c r="A42" s="23" t="s">
        <v>210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 H@nindyo</dc:creator>
  <cp:keywords/>
  <dc:description/>
  <cp:lastModifiedBy>sutanto</cp:lastModifiedBy>
  <dcterms:created xsi:type="dcterms:W3CDTF">2010-07-30T04:30:08Z</dcterms:created>
  <dcterms:modified xsi:type="dcterms:W3CDTF">2010-08-09T11:56:18Z</dcterms:modified>
  <cp:category/>
  <cp:version/>
  <cp:contentType/>
  <cp:contentStatus/>
</cp:coreProperties>
</file>